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1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drawings/drawing13.xml" ContentType="application/vnd.openxmlformats-officedocument.drawing+xml"/>
  <Override PartName="/xl/charts/chart17.xml" ContentType="application/vnd.openxmlformats-officedocument.drawingml.chart+xml"/>
  <Override PartName="/xl/drawings/drawing14.xml" ContentType="application/vnd.openxmlformats-officedocument.drawing+xml"/>
  <Override PartName="/xl/charts/chart18.xml" ContentType="application/vnd.openxmlformats-officedocument.drawingml.chart+xml"/>
  <Override PartName="/xl/drawings/drawing15.xml" ContentType="application/vnd.openxmlformats-officedocument.drawing+xml"/>
  <Override PartName="/xl/charts/chart19.xml" ContentType="application/vnd.openxmlformats-officedocument.drawingml.chart+xml"/>
  <Override PartName="/xl/drawings/drawing16.xml" ContentType="application/vnd.openxmlformats-officedocument.drawing+xml"/>
  <Override PartName="/xl/charts/chart20.xml" ContentType="application/vnd.openxmlformats-officedocument.drawingml.chart+xml"/>
  <Override PartName="/xl/drawings/drawing17.xml" ContentType="application/vnd.openxmlformats-officedocument.drawing+xml"/>
  <Override PartName="/xl/charts/chart21.xml" ContentType="application/vnd.openxmlformats-officedocument.drawingml.chart+xml"/>
  <Override PartName="/xl/drawings/drawing18.xml" ContentType="application/vnd.openxmlformats-officedocument.drawing+xml"/>
  <Override PartName="/xl/charts/chart22.xml" ContentType="application/vnd.openxmlformats-officedocument.drawingml.chart+xml"/>
  <Override PartName="/xl/drawings/drawing19.xml" ContentType="application/vnd.openxmlformats-officedocument.drawing+xml"/>
  <Override PartName="/xl/charts/chart23.xml" ContentType="application/vnd.openxmlformats-officedocument.drawingml.chart+xml"/>
  <Override PartName="/xl/drawings/drawing20.xml" ContentType="application/vnd.openxmlformats-officedocument.drawing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Турасова\МОНИТОРИНГИ\Мониторинг рег цен\2020\"/>
    </mc:Choice>
  </mc:AlternateContent>
  <bookViews>
    <workbookView xWindow="0" yWindow="495" windowWidth="19155" windowHeight="11430" firstSheet="2" activeTab="2"/>
  </bookViews>
  <sheets>
    <sheet name="Прил№3 июль" sheetId="42" state="hidden" r:id="rId1"/>
    <sheet name="По месяцам2016" sheetId="64" state="hidden" r:id="rId2"/>
    <sheet name="Приложение №1" sheetId="86" r:id="rId3"/>
    <sheet name="Приложение № 2" sheetId="101" r:id="rId4"/>
    <sheet name="Приложение № 3" sheetId="99" r:id="rId5"/>
    <sheet name="Приложение № 4" sheetId="100" r:id="rId6"/>
    <sheet name="Приложение №3" sheetId="53" state="hidden" r:id="rId7"/>
    <sheet name="Прил№4июнь" sheetId="46" state="hidden" r:id="rId8"/>
    <sheet name="Прил№4июль" sheetId="51" state="hidden" r:id="rId9"/>
    <sheet name="Приложение №4" sheetId="54" state="hidden" r:id="rId10"/>
    <sheet name="4мес.2015" sheetId="43" state="hidden" r:id="rId11"/>
    <sheet name="Приложение №5" sheetId="87" state="hidden" r:id="rId12"/>
    <sheet name="Приложение №6" sheetId="88" state="hidden" r:id="rId13"/>
    <sheet name="Приложение № 7" sheetId="89" state="hidden" r:id="rId14"/>
    <sheet name="Лист1" sheetId="90" state="hidden" r:id="rId15"/>
    <sheet name="Лист3" sheetId="91" state="hidden" r:id="rId16"/>
    <sheet name="Лист4" sheetId="92" state="hidden" r:id="rId17"/>
    <sheet name="Лист5" sheetId="93" state="hidden" r:id="rId18"/>
    <sheet name="5.1" sheetId="94" state="hidden" r:id="rId19"/>
    <sheet name="Лист6" sheetId="95" state="hidden" r:id="rId20"/>
    <sheet name="6.1" sheetId="96" state="hidden" r:id="rId21"/>
    <sheet name="7" sheetId="97" state="hidden" r:id="rId22"/>
    <sheet name="7.1" sheetId="98" state="hidden" r:id="rId23"/>
  </sheets>
  <externalReferences>
    <externalReference r:id="rId24"/>
  </externalReferences>
  <definedNames>
    <definedName name="anscount" hidden="1">1</definedName>
    <definedName name="DaNet">[1]TEHSHEET!$G$2:$G$3</definedName>
    <definedName name="MONTH">[1]TEHSHEET!$E$2:$E$14</definedName>
    <definedName name="MR_LIST">[1]REESTR_MO!$D$2:$D$14</definedName>
    <definedName name="org">[1]Титульный!$G$16</definedName>
    <definedName name="P19_T1_Protect" localSheetId="3" hidden="1">P5_T1_Protect,P6_T1_Protect,P7_T1_Protect,P8_T1_Protect,P9_T1_Protect,P10_T1_Protect,P11_T1_Protect,P12_T1_Protect,P13_T1_Protect,P14_T1_Protect</definedName>
    <definedName name="P19_T1_Protect" localSheetId="4" hidden="1">P5_T1_Protect,P6_T1_Protect,P7_T1_Protect,P8_T1_Protect,P9_T1_Protect,P10_T1_Protect,P11_T1_Protect,P12_T1_Protect,P13_T1_Protect,P14_T1_Protect</definedName>
    <definedName name="P19_T1_Protect" localSheetId="5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ROT_22" localSheetId="3">P3_PROT_22,P4_PROT_22,P5_PROT_22</definedName>
    <definedName name="PROT_22" localSheetId="4">P3_PROT_22,P4_PROT_22,P5_PROT_22</definedName>
    <definedName name="PROT_22" localSheetId="5">P3_PROT_22,P4_PROT_22,P5_PROT_22</definedName>
    <definedName name="PROT_22">P3_PROT_22,P4_PROT_22,P5_PROT_22</definedName>
    <definedName name="SAPBEXrevision" hidden="1">1</definedName>
    <definedName name="SAPBEXsysID" hidden="1">"BW2"</definedName>
    <definedName name="SAPBEXwbID" hidden="1">"479GSPMTNK9HM4ZSIVE5K2SH6"</definedName>
    <definedName name="SCOPE_16_PRT" localSheetId="3">P1_SCOPE_16_PRT,P2_SCOPE_16_PRT</definedName>
    <definedName name="SCOPE_16_PRT" localSheetId="4">P1_SCOPE_16_PRT,P2_SCOPE_16_PRT</definedName>
    <definedName name="SCOPE_16_PRT" localSheetId="5">P1_SCOPE_16_PRT,P2_SCOPE_16_PRT</definedName>
    <definedName name="SCOPE_16_PRT">P1_SCOPE_16_PRT,P2_SCOPE_16_PRT</definedName>
    <definedName name="Scope_17_PRT" localSheetId="3">P1_SCOPE_16_PRT,P2_SCOPE_16_PRT</definedName>
    <definedName name="Scope_17_PRT" localSheetId="4">P1_SCOPE_16_PRT,P2_SCOPE_16_PRT</definedName>
    <definedName name="Scope_17_PRT" localSheetId="5">P1_SCOPE_16_PRT,P2_SCOPE_16_PRT</definedName>
    <definedName name="Scope_17_PRT">P1_SCOPE_16_PRT,P2_SCOPE_16_PRT</definedName>
    <definedName name="SCOPE_PER_PRT" localSheetId="3">P5_SCOPE_PER_PRT,P6_SCOPE_PER_PRT,P7_SCOPE_PER_PRT,P8_SCOPE_PER_PRT</definedName>
    <definedName name="SCOPE_PER_PRT" localSheetId="4">P5_SCOPE_PER_PRT,P6_SCOPE_PER_PRT,P7_SCOPE_PER_PRT,P8_SCOPE_PER_PRT</definedName>
    <definedName name="SCOPE_PER_PRT" localSheetId="5">P5_SCOPE_PER_PRT,P6_SCOPE_PER_PRT,P7_SCOPE_PER_PRT,P8_SCOPE_PER_PRT</definedName>
    <definedName name="SCOPE_PER_PRT">P5_SCOPE_PER_PRT,P6_SCOPE_PER_PRT,P7_SCOPE_PER_PRT,P8_SCOPE_PER_PRT</definedName>
    <definedName name="SCOPE_SV_PRT" localSheetId="3">P1_SCOPE_SV_PRT,P2_SCOPE_SV_PRT,P3_SCOPE_SV_PRT</definedName>
    <definedName name="SCOPE_SV_PRT" localSheetId="4">P1_SCOPE_SV_PRT,P2_SCOPE_SV_PRT,P3_SCOPE_SV_PRT</definedName>
    <definedName name="SCOPE_SV_PRT" localSheetId="5">P1_SCOPE_SV_PRT,P2_SCOPE_SV_PRT,P3_SCOPE_SV_PRT</definedName>
    <definedName name="SCOPE_SV_PRT">P1_SCOPE_SV_PRT,P2_SCOPE_SV_PRT,P3_SCOPE_SV_PRT</definedName>
    <definedName name="Sposob_Priobr_Range">[1]TEHSHEET!$H$2:$H$4</definedName>
    <definedName name="T2.1_Protect" localSheetId="3">P4_T2.1_Protect,P5_T2.1_Protect,P6_T2.1_Protect,P7_T2.1_Protect</definedName>
    <definedName name="T2.1_Protect" localSheetId="4">P4_T2.1_Protect,P5_T2.1_Protect,P6_T2.1_Protect,P7_T2.1_Protect</definedName>
    <definedName name="T2.1_Protect" localSheetId="5">P4_T2.1_Protect,P5_T2.1_Protect,P6_T2.1_Protect,P7_T2.1_Protect</definedName>
    <definedName name="T2.1_Protect">P4_T2.1_Protect,P5_T2.1_Protect,P6_T2.1_Protect,P7_T2.1_Protect</definedName>
    <definedName name="T2_1_Protect" localSheetId="3">P4_T2_1_Protect,P5_T2_1_Protect,P6_T2_1_Protect,P7_T2_1_Protect</definedName>
    <definedName name="T2_1_Protect" localSheetId="4">P4_T2_1_Protect,P5_T2_1_Protect,P6_T2_1_Protect,P7_T2_1_Protect</definedName>
    <definedName name="T2_1_Protect" localSheetId="5">P4_T2_1_Protect,P5_T2_1_Protect,P6_T2_1_Protect,P7_T2_1_Protect</definedName>
    <definedName name="T2_1_Protect">P4_T2_1_Protect,P5_T2_1_Protect,P6_T2_1_Protect,P7_T2_1_Protect</definedName>
    <definedName name="T2_2_Protect" localSheetId="3">P4_T2_2_Protect,P5_T2_2_Protect,P6_T2_2_Protect,P7_T2_2_Protect</definedName>
    <definedName name="T2_2_Protect" localSheetId="4">P4_T2_2_Protect,P5_T2_2_Protect,P6_T2_2_Protect,P7_T2_2_Protect</definedName>
    <definedName name="T2_2_Protect" localSheetId="5">P4_T2_2_Protect,P5_T2_2_Protect,P6_T2_2_Protect,P7_T2_2_Protect</definedName>
    <definedName name="T2_2_Protect">P4_T2_2_Protect,P5_T2_2_Protect,P6_T2_2_Protect,P7_T2_2_Protect</definedName>
    <definedName name="T2_DiapProt" localSheetId="3">P1_T2_DiapProt,P2_T2_DiapProt</definedName>
    <definedName name="T2_DiapProt" localSheetId="4">P1_T2_DiapProt,P2_T2_DiapProt</definedName>
    <definedName name="T2_DiapProt" localSheetId="5">P1_T2_DiapProt,P2_T2_DiapProt</definedName>
    <definedName name="T2_DiapProt">P1_T2_DiapProt,P2_T2_DiapProt</definedName>
    <definedName name="T2_Protect" localSheetId="3">P4_T2_Protect,P5_T2_Protect,P6_T2_Protect</definedName>
    <definedName name="T2_Protect" localSheetId="4">P4_T2_Protect,P5_T2_Protect,P6_T2_Protect</definedName>
    <definedName name="T2_Protect" localSheetId="5">P4_T2_Protect,P5_T2_Protect,P6_T2_Protect</definedName>
    <definedName name="T2_Protect">P4_T2_Protect,P5_T2_Protect,P6_T2_Protect</definedName>
    <definedName name="T6_Protect" localSheetId="3">P1_T6_Protect,P2_T6_Protect</definedName>
    <definedName name="T6_Protect" localSheetId="4">P1_T6_Protect,P2_T6_Protect</definedName>
    <definedName name="T6_Protect" localSheetId="5">P1_T6_Protect,P2_T6_Protect</definedName>
    <definedName name="T6_Protect">P1_T6_Protect,P2_T6_Protect</definedName>
    <definedName name="version">[1]Инструкция!$B$3</definedName>
    <definedName name="YEAR">[1]TEHSHEET!$F$2:$F$5</definedName>
    <definedName name="грф" localSheetId="3">P1_SCOPE_16_PRT,P2_SCOPE_16_PRT</definedName>
    <definedName name="грф" localSheetId="4">P1_SCOPE_16_PRT,P2_SCOPE_16_PRT</definedName>
    <definedName name="грф" localSheetId="5">P1_SCOPE_16_PRT,P2_SCOPE_16_PRT</definedName>
    <definedName name="грф">P1_SCOPE_16_PRT,P2_SCOPE_16_PRT</definedName>
    <definedName name="_xlnm.Print_Area" localSheetId="1">'По месяцам2016'!$B$1:$CH$14</definedName>
    <definedName name="_xlnm.Print_Area" localSheetId="0">'Прил№3 июль'!$A$1:$I$9</definedName>
    <definedName name="_xlnm.Print_Area" localSheetId="7">Прил№4июнь!$A$1:$G$11</definedName>
    <definedName name="_xlnm.Print_Area" localSheetId="3">'Приложение № 2'!$A$1:$F$19</definedName>
    <definedName name="_xlnm.Print_Area" localSheetId="4">'Приложение № 3'!$A$15:$L$44</definedName>
    <definedName name="_xlnm.Print_Area" localSheetId="5">'Приложение № 4'!$A$15:$H$50</definedName>
    <definedName name="_xlnm.Print_Area" localSheetId="2">'Приложение №1'!$B$1:$CX$26</definedName>
    <definedName name="_xlnm.Print_Area" localSheetId="6">'Приложение №3'!$A$15:$O$44</definedName>
    <definedName name="_xlnm.Print_Area" localSheetId="9">'Приложение №4'!$A$15:$N$50</definedName>
    <definedName name="_xlnm.Print_Area" localSheetId="11">'Приложение №5'!$G$1:$P$39</definedName>
    <definedName name="пвпрар" localSheetId="3">P1_T6_Protect,P2_T6_Protect</definedName>
    <definedName name="пвпрар" localSheetId="4">P1_T6_Protect,P2_T6_Protect</definedName>
    <definedName name="пвпрар" localSheetId="5">P1_T6_Protect,P2_T6_Protect</definedName>
    <definedName name="пвпрар">P1_T6_Protect,P2_T6_Protect</definedName>
  </definedNames>
  <calcPr calcId="152511"/>
</workbook>
</file>

<file path=xl/calcChain.xml><?xml version="1.0" encoding="utf-8"?>
<calcChain xmlns="http://schemas.openxmlformats.org/spreadsheetml/2006/main">
  <c r="D18" i="101" l="1"/>
  <c r="C18" i="101"/>
  <c r="B18" i="101"/>
  <c r="C16" i="101"/>
  <c r="D16" i="101"/>
  <c r="D15" i="101"/>
  <c r="C15" i="101"/>
  <c r="D14" i="101"/>
  <c r="C14" i="101"/>
  <c r="D13" i="101"/>
  <c r="C13" i="101"/>
  <c r="C17" i="101"/>
  <c r="B14" i="101"/>
  <c r="B15" i="101"/>
  <c r="B16" i="101"/>
  <c r="B13" i="101"/>
  <c r="D12" i="101"/>
  <c r="C12" i="101"/>
  <c r="D11" i="101"/>
  <c r="C11" i="101"/>
  <c r="B12" i="101"/>
  <c r="B7" i="101"/>
  <c r="B8" i="101"/>
  <c r="B9" i="101"/>
  <c r="B6" i="101"/>
  <c r="CH15" i="86" l="1"/>
  <c r="CI14" i="86"/>
  <c r="CI15" i="86"/>
  <c r="CG14" i="86"/>
  <c r="CH14" i="86" s="1"/>
  <c r="CG15" i="86"/>
  <c r="CF13" i="86"/>
  <c r="CF12" i="86" s="1"/>
  <c r="CE13" i="86"/>
  <c r="CE12" i="86" s="1"/>
  <c r="CF8" i="86"/>
  <c r="CF9" i="86" s="1"/>
  <c r="CE8" i="86"/>
  <c r="CE9" i="86" s="1"/>
  <c r="CD14" i="86"/>
  <c r="CD15" i="86"/>
  <c r="CB14" i="86"/>
  <c r="CC14" i="86" s="1"/>
  <c r="CB15" i="86"/>
  <c r="CC15" i="86" s="1"/>
  <c r="CA8" i="86"/>
  <c r="CA9" i="86" s="1"/>
  <c r="BZ8" i="86"/>
  <c r="BZ9" i="86" s="1"/>
  <c r="BY14" i="86"/>
  <c r="BY15" i="86"/>
  <c r="BW14" i="86"/>
  <c r="BX14" i="86" s="1"/>
  <c r="BW15" i="86"/>
  <c r="BX15" i="86" s="1"/>
  <c r="BV9" i="86"/>
  <c r="BV8" i="86"/>
  <c r="CA13" i="86"/>
  <c r="CA12" i="86" s="1"/>
  <c r="BZ13" i="86"/>
  <c r="BZ12" i="86" s="1"/>
  <c r="BV13" i="86"/>
  <c r="BU13" i="86"/>
  <c r="BV12" i="86"/>
  <c r="BU12" i="86"/>
  <c r="BU9" i="86"/>
  <c r="BU8" i="86"/>
  <c r="BO15" i="86"/>
  <c r="BM15" i="86"/>
  <c r="BM14" i="86"/>
  <c r="BL9" i="86"/>
  <c r="BL8" i="86"/>
  <c r="BL13" i="86"/>
  <c r="BL12" i="86" s="1"/>
  <c r="BK13" i="86"/>
  <c r="BK12" i="86" s="1"/>
  <c r="BK8" i="86"/>
  <c r="BK9" i="86" s="1"/>
  <c r="BO14" i="86" l="1"/>
  <c r="E11" i="101"/>
  <c r="E12" i="101"/>
  <c r="E13" i="101"/>
  <c r="E14" i="101"/>
  <c r="E15" i="101"/>
  <c r="E16" i="101"/>
  <c r="E17" i="101"/>
  <c r="E18" i="101"/>
  <c r="E9" i="101"/>
  <c r="E8" i="101"/>
  <c r="E7" i="101"/>
  <c r="AD12" i="86" l="1"/>
  <c r="AI12" i="86"/>
  <c r="AN12" i="86"/>
  <c r="BB12" i="86"/>
  <c r="BG12" i="86"/>
  <c r="BF12" i="86"/>
  <c r="BA12" i="86"/>
  <c r="AM12" i="86"/>
  <c r="AH12" i="86"/>
  <c r="AC12" i="86"/>
  <c r="AG17" i="86" s="1"/>
  <c r="K13" i="86"/>
  <c r="K12" i="86" s="1"/>
  <c r="J13" i="86"/>
  <c r="J12" i="86" l="1"/>
  <c r="AL15" i="86"/>
  <c r="AL14" i="86"/>
  <c r="BE20" i="86"/>
  <c r="BE14" i="86"/>
  <c r="BE15" i="86"/>
  <c r="AG15" i="86"/>
  <c r="AG19" i="86"/>
  <c r="AG20" i="86"/>
  <c r="AQ14" i="86"/>
  <c r="AQ15" i="86"/>
  <c r="BJ15" i="86"/>
  <c r="BJ20" i="86"/>
  <c r="BJ14" i="86"/>
  <c r="AG14" i="86"/>
  <c r="AG16" i="86"/>
  <c r="AG18" i="86"/>
  <c r="AS12" i="86"/>
  <c r="N14" i="86" l="1"/>
  <c r="N15" i="86"/>
  <c r="N13" i="86"/>
  <c r="D10" i="101"/>
  <c r="D19" i="101" s="1"/>
  <c r="C10" i="101"/>
  <c r="C19" i="101" s="1"/>
  <c r="E6" i="101"/>
  <c r="B11" i="101" l="1"/>
  <c r="E10" i="101"/>
  <c r="B2" i="101"/>
  <c r="BG8" i="86"/>
  <c r="BF8" i="86"/>
  <c r="I5" i="100" s="1"/>
  <c r="BB8" i="86" l="1"/>
  <c r="BA8" i="86"/>
  <c r="H5" i="100" s="1"/>
  <c r="AN8" i="86" l="1"/>
  <c r="AM8" i="86"/>
  <c r="AI8" i="86"/>
  <c r="AH8" i="86"/>
  <c r="F5" i="100" s="1"/>
  <c r="AD8" i="86"/>
  <c r="AC8" i="86"/>
  <c r="E5" i="100" s="1"/>
  <c r="G5" i="100" l="1"/>
  <c r="U8" i="86"/>
  <c r="T8" i="86"/>
  <c r="D5" i="100" s="1"/>
  <c r="P8" i="86" l="1"/>
  <c r="O8" i="86"/>
  <c r="C5" i="100" s="1"/>
  <c r="K8" i="86" l="1"/>
  <c r="L8" i="86" s="1"/>
  <c r="J8" i="86"/>
  <c r="B5" i="100" s="1"/>
  <c r="I8" i="100" l="1"/>
  <c r="H8" i="100"/>
  <c r="G8" i="100"/>
  <c r="F8" i="100"/>
  <c r="E8" i="100"/>
  <c r="D8" i="100"/>
  <c r="C8" i="100"/>
  <c r="B8" i="100"/>
  <c r="I7" i="100"/>
  <c r="G7" i="100"/>
  <c r="H7" i="100"/>
  <c r="F7" i="100"/>
  <c r="E7" i="100"/>
  <c r="D7" i="100"/>
  <c r="C7" i="100"/>
  <c r="B7" i="100"/>
  <c r="J10" i="99"/>
  <c r="K10" i="99"/>
  <c r="L10" i="99"/>
  <c r="M10" i="99"/>
  <c r="AS14" i="86" l="1"/>
  <c r="AS15" i="86"/>
  <c r="AR14" i="86"/>
  <c r="AR15" i="86"/>
  <c r="AT15" i="86" l="1"/>
  <c r="AT14" i="86"/>
  <c r="K9" i="86"/>
  <c r="J9" i="86"/>
  <c r="B6" i="100" s="1"/>
  <c r="BH14" i="86"/>
  <c r="BN14" i="86" s="1"/>
  <c r="BH15" i="86"/>
  <c r="BN15" i="86" s="1"/>
  <c r="BG13" i="86"/>
  <c r="BF13" i="86"/>
  <c r="BC14" i="86" l="1"/>
  <c r="BC15" i="86"/>
  <c r="BB13" i="86"/>
  <c r="BA13" i="86"/>
  <c r="AO14" i="86"/>
  <c r="AO15" i="86"/>
  <c r="AN13" i="86"/>
  <c r="AM13" i="86"/>
  <c r="AJ15" i="86"/>
  <c r="AP15" i="86" l="1"/>
  <c r="BD15" i="86"/>
  <c r="BI15" i="86"/>
  <c r="BD14" i="86"/>
  <c r="BI14" i="86"/>
  <c r="AO13" i="86"/>
  <c r="Z15" i="86" l="1"/>
  <c r="AW15" i="86" s="1"/>
  <c r="Y15" i="86"/>
  <c r="AJ14" i="86"/>
  <c r="AI13" i="86"/>
  <c r="AH13" i="86"/>
  <c r="AE14" i="86"/>
  <c r="AE15" i="86"/>
  <c r="AD13" i="86"/>
  <c r="AC13" i="86"/>
  <c r="AV15" i="86" l="1"/>
  <c r="AK15" i="86"/>
  <c r="AK14" i="86"/>
  <c r="AP14" i="86"/>
  <c r="AX15" i="86"/>
  <c r="AA15" i="86"/>
  <c r="AF15" i="86" s="1"/>
  <c r="V14" i="86"/>
  <c r="V15" i="86"/>
  <c r="U13" i="86"/>
  <c r="U12" i="86" s="1"/>
  <c r="T13" i="86"/>
  <c r="T12" i="86" s="1"/>
  <c r="Q14" i="86"/>
  <c r="Q15" i="86"/>
  <c r="O13" i="86"/>
  <c r="O12" i="86" s="1"/>
  <c r="P13" i="86"/>
  <c r="P12" i="86" s="1"/>
  <c r="S14" i="86" l="1"/>
  <c r="S15" i="86"/>
  <c r="Z12" i="86"/>
  <c r="AW12" i="86" s="1"/>
  <c r="X15" i="86"/>
  <c r="X14" i="86"/>
  <c r="W15" i="86"/>
  <c r="W14" i="86"/>
  <c r="F13" i="86"/>
  <c r="E13" i="86"/>
  <c r="E9" i="86"/>
  <c r="Z14" i="86"/>
  <c r="L15" i="86"/>
  <c r="Y14" i="86" l="1"/>
  <c r="AA14" i="86" s="1"/>
  <c r="AF14" i="86" s="1"/>
  <c r="R15" i="86"/>
  <c r="AW14" i="86"/>
  <c r="AV14" i="86"/>
  <c r="L14" i="86"/>
  <c r="AX14" i="86" l="1"/>
  <c r="R14" i="86"/>
  <c r="Z34" i="86"/>
  <c r="Y34" i="86"/>
  <c r="J10" i="100" l="1"/>
  <c r="CG20" i="86"/>
  <c r="CH20" i="86" s="1"/>
  <c r="BM11" i="86" l="1"/>
  <c r="BM10" i="86"/>
  <c r="I9" i="100" l="1"/>
  <c r="BG9" i="86"/>
  <c r="BF9" i="86"/>
  <c r="I6" i="100" s="1"/>
  <c r="H9" i="100" l="1"/>
  <c r="BB9" i="86"/>
  <c r="BB7" i="86" s="1"/>
  <c r="BA9" i="86"/>
  <c r="H6" i="100" s="1"/>
  <c r="C9" i="100" l="1"/>
  <c r="B9" i="100" l="1"/>
  <c r="X20" i="86"/>
  <c r="D9" i="100"/>
  <c r="AL20" i="86"/>
  <c r="F9" i="100"/>
  <c r="E9" i="100"/>
  <c r="AQ20" i="86"/>
  <c r="G9" i="100"/>
  <c r="N20" i="86"/>
  <c r="N19" i="86"/>
  <c r="S19" i="86"/>
  <c r="S20" i="86"/>
  <c r="Y12" i="86"/>
  <c r="AO20" i="86"/>
  <c r="AN9" i="86"/>
  <c r="AM9" i="86"/>
  <c r="G6" i="100" s="1"/>
  <c r="AB15" i="86" l="1"/>
  <c r="AB14" i="86"/>
  <c r="AJ20" i="86"/>
  <c r="AI9" i="86"/>
  <c r="AH9" i="86"/>
  <c r="F6" i="100" s="1"/>
  <c r="AE20" i="86"/>
  <c r="AS20" i="86"/>
  <c r="AR20" i="86"/>
  <c r="AD9" i="86"/>
  <c r="AC9" i="86"/>
  <c r="E6" i="100" s="1"/>
  <c r="AK20" i="86" l="1"/>
  <c r="AP20" i="86"/>
  <c r="AT20" i="86"/>
  <c r="V20" i="86"/>
  <c r="U9" i="86"/>
  <c r="T9" i="86"/>
  <c r="D6" i="100" s="1"/>
  <c r="Q20" i="86"/>
  <c r="Q16" i="86"/>
  <c r="P9" i="86"/>
  <c r="O9" i="86"/>
  <c r="C6" i="100" s="1"/>
  <c r="L20" i="86"/>
  <c r="M20" i="86" s="1"/>
  <c r="Z20" i="86"/>
  <c r="AW20" i="86" s="1"/>
  <c r="Y20" i="86"/>
  <c r="AB20" i="86" s="1"/>
  <c r="R20" i="86" l="1"/>
  <c r="W20" i="86"/>
  <c r="AV20" i="86"/>
  <c r="AA20" i="86"/>
  <c r="AF20" i="86" s="1"/>
  <c r="AX20" i="86" l="1"/>
  <c r="BA7" i="86"/>
  <c r="K10" i="100" l="1"/>
  <c r="L10" i="100"/>
  <c r="M10" i="100"/>
  <c r="CB20" i="86"/>
  <c r="CK20" i="86"/>
  <c r="BW20" i="86"/>
  <c r="CJ20" i="86"/>
  <c r="BP8" i="86"/>
  <c r="CC20" i="86" l="1"/>
  <c r="CL20" i="86"/>
  <c r="I10" i="100"/>
  <c r="H10" i="100"/>
  <c r="BP19" i="86"/>
  <c r="BO20" i="86"/>
  <c r="BC20" i="86"/>
  <c r="BD20" i="86" s="1"/>
  <c r="BQ20" i="86"/>
  <c r="BP20" i="86"/>
  <c r="BM20" i="86"/>
  <c r="BX20" i="86" s="1"/>
  <c r="BH20" i="86"/>
  <c r="BH19" i="86"/>
  <c r="BC19" i="86"/>
  <c r="BC18" i="86"/>
  <c r="Q17" i="86"/>
  <c r="CP20" i="86" l="1"/>
  <c r="CU20" i="86"/>
  <c r="BR20" i="86"/>
  <c r="CT20" i="86"/>
  <c r="BI20" i="86"/>
  <c r="BN20" i="86"/>
  <c r="CO20" i="86"/>
  <c r="CQ20" i="86" s="1"/>
  <c r="BC12" i="86"/>
  <c r="F10" i="100"/>
  <c r="E10" i="100"/>
  <c r="D10" i="100"/>
  <c r="C10" i="100"/>
  <c r="G10" i="100"/>
  <c r="CV20" i="86" l="1"/>
  <c r="B10" i="100"/>
  <c r="AR12" i="86" l="1"/>
  <c r="AU20" i="86" l="1"/>
  <c r="AU15" i="86"/>
  <c r="AU14" i="86"/>
  <c r="Q10" i="86"/>
  <c r="AR10" i="86" l="1"/>
  <c r="AS10" i="86"/>
  <c r="AR11" i="86"/>
  <c r="AS11" i="86"/>
  <c r="AR13" i="86"/>
  <c r="AS13" i="86"/>
  <c r="AR16" i="86"/>
  <c r="AS16" i="86"/>
  <c r="AR17" i="86"/>
  <c r="AS17" i="86"/>
  <c r="AR18" i="86"/>
  <c r="AS18" i="86"/>
  <c r="AR19" i="86"/>
  <c r="AS19" i="86"/>
  <c r="AS9" i="86"/>
  <c r="AR8" i="86"/>
  <c r="Q13" i="86"/>
  <c r="Q11" i="86"/>
  <c r="Q8" i="86"/>
  <c r="G19" i="86"/>
  <c r="H19" i="86" s="1"/>
  <c r="G18" i="86"/>
  <c r="H18" i="86" s="1"/>
  <c r="G17" i="86"/>
  <c r="H17" i="86" s="1"/>
  <c r="G16" i="86"/>
  <c r="H16" i="86" s="1"/>
  <c r="G13" i="86"/>
  <c r="H13" i="86" s="1"/>
  <c r="F12" i="86"/>
  <c r="E12" i="86"/>
  <c r="I19" i="86" s="1"/>
  <c r="G11" i="86"/>
  <c r="H11" i="86" s="1"/>
  <c r="G10" i="86"/>
  <c r="H10" i="86" s="1"/>
  <c r="F7" i="86"/>
  <c r="F21" i="86" l="1"/>
  <c r="AS8" i="86"/>
  <c r="AR9" i="86"/>
  <c r="G9" i="86"/>
  <c r="H9" i="86" s="1"/>
  <c r="G8" i="86"/>
  <c r="H8" i="86" s="1"/>
  <c r="G12" i="86"/>
  <c r="H12" i="86" s="1"/>
  <c r="I16" i="86"/>
  <c r="I18" i="86"/>
  <c r="E7" i="86"/>
  <c r="I13" i="86"/>
  <c r="I17" i="86"/>
  <c r="I21" i="86" l="1"/>
  <c r="E21" i="86"/>
  <c r="G7" i="86"/>
  <c r="H7" i="86" s="1"/>
  <c r="I11" i="86" l="1"/>
  <c r="I10" i="86"/>
  <c r="I9" i="86"/>
  <c r="G21" i="86"/>
  <c r="H21" i="86" s="1"/>
  <c r="I8" i="86"/>
  <c r="I12" i="86"/>
  <c r="I7" i="86"/>
  <c r="Q12" i="86" l="1"/>
  <c r="CG10" i="86" l="1"/>
  <c r="CG11" i="86"/>
  <c r="CG13" i="86"/>
  <c r="CG16" i="86"/>
  <c r="CG17" i="86"/>
  <c r="CG18" i="86"/>
  <c r="CG19" i="86"/>
  <c r="CF7" i="86" l="1"/>
  <c r="CG8" i="86"/>
  <c r="CK16" i="86"/>
  <c r="CK17" i="86"/>
  <c r="CK18" i="86"/>
  <c r="CK19" i="86"/>
  <c r="CK13" i="86"/>
  <c r="CJ16" i="86"/>
  <c r="CJ17" i="86"/>
  <c r="CJ18" i="86"/>
  <c r="CJ19" i="86"/>
  <c r="CJ13" i="86"/>
  <c r="CK10" i="86"/>
  <c r="CK11" i="86"/>
  <c r="CJ11" i="86"/>
  <c r="CJ10" i="86"/>
  <c r="CB10" i="86"/>
  <c r="CB11" i="86"/>
  <c r="CB13" i="86"/>
  <c r="CB16" i="86"/>
  <c r="CB17" i="86"/>
  <c r="CB18" i="86"/>
  <c r="CB19" i="86"/>
  <c r="BW10" i="86"/>
  <c r="BW11" i="86"/>
  <c r="BW13" i="86"/>
  <c r="BW16" i="86"/>
  <c r="BW17" i="86"/>
  <c r="BW18" i="86"/>
  <c r="BW19" i="86"/>
  <c r="BQ16" i="86"/>
  <c r="BQ17" i="86"/>
  <c r="BQ18" i="86"/>
  <c r="BQ19" i="86"/>
  <c r="BQ13" i="86"/>
  <c r="BQ10" i="86"/>
  <c r="BQ11" i="86"/>
  <c r="CP11" i="86" s="1"/>
  <c r="BP16" i="86"/>
  <c r="BP17" i="86"/>
  <c r="BP18" i="86"/>
  <c r="BP13" i="86"/>
  <c r="BP10" i="86"/>
  <c r="BP11" i="86"/>
  <c r="BO19" i="86"/>
  <c r="BM13" i="86"/>
  <c r="BM16" i="86"/>
  <c r="BM17" i="86"/>
  <c r="BM18" i="86"/>
  <c r="BM19" i="86"/>
  <c r="BH10" i="86"/>
  <c r="BH11" i="86"/>
  <c r="BH13" i="86"/>
  <c r="BH16" i="86"/>
  <c r="BH17" i="86"/>
  <c r="BH18" i="86"/>
  <c r="BJ18" i="86"/>
  <c r="BE18" i="86"/>
  <c r="BC10" i="86"/>
  <c r="BC11" i="86"/>
  <c r="BC13" i="86"/>
  <c r="BC16" i="86"/>
  <c r="BC17" i="86"/>
  <c r="CD19" i="86" l="1"/>
  <c r="CD20" i="86"/>
  <c r="BY19" i="86"/>
  <c r="BY20" i="86"/>
  <c r="CI19" i="86"/>
  <c r="CI20" i="86"/>
  <c r="CP17" i="86"/>
  <c r="CO10" i="86"/>
  <c r="CP19" i="86"/>
  <c r="CO16" i="86"/>
  <c r="CO18" i="86"/>
  <c r="CL18" i="86"/>
  <c r="CL13" i="86"/>
  <c r="BQ12" i="86"/>
  <c r="CO13" i="86"/>
  <c r="BP12" i="86"/>
  <c r="BT20" i="86" s="1"/>
  <c r="AQ13" i="86"/>
  <c r="CO11" i="86"/>
  <c r="CP10" i="86"/>
  <c r="CO19" i="86"/>
  <c r="CP18" i="86"/>
  <c r="CQ18" i="86" s="1"/>
  <c r="CP16" i="86"/>
  <c r="CL19" i="86"/>
  <c r="CL17" i="86"/>
  <c r="CL11" i="86"/>
  <c r="CQ16" i="86"/>
  <c r="BR17" i="86"/>
  <c r="CO17" i="86"/>
  <c r="CP13" i="86"/>
  <c r="CQ11" i="86"/>
  <c r="CK8" i="86"/>
  <c r="CJ9" i="86"/>
  <c r="BU7" i="86"/>
  <c r="BR19" i="86"/>
  <c r="BR11" i="86"/>
  <c r="BR18" i="86"/>
  <c r="BR16" i="86"/>
  <c r="CB9" i="86"/>
  <c r="CG12" i="86"/>
  <c r="CK12" i="86"/>
  <c r="CL10" i="86"/>
  <c r="CL16" i="86"/>
  <c r="CJ12" i="86"/>
  <c r="CN19" i="86" s="1"/>
  <c r="CJ8" i="86"/>
  <c r="CE7" i="86"/>
  <c r="CC18" i="86"/>
  <c r="CC16" i="86"/>
  <c r="CC11" i="86"/>
  <c r="CF21" i="86"/>
  <c r="CF22" i="86" s="1"/>
  <c r="CI16" i="86"/>
  <c r="CI18" i="86"/>
  <c r="BI18" i="86"/>
  <c r="BI16" i="86"/>
  <c r="BI11" i="86"/>
  <c r="BR10" i="86"/>
  <c r="BZ7" i="86"/>
  <c r="BZ21" i="86" s="1"/>
  <c r="BZ22" i="86" s="1"/>
  <c r="CA7" i="86"/>
  <c r="CA21" i="86" s="1"/>
  <c r="CA22" i="86" s="1"/>
  <c r="CC19" i="86"/>
  <c r="CC17" i="86"/>
  <c r="CC13" i="86"/>
  <c r="CC10" i="86"/>
  <c r="CB8" i="86"/>
  <c r="CI13" i="86"/>
  <c r="CI17" i="86"/>
  <c r="CB12" i="86"/>
  <c r="CD16" i="86"/>
  <c r="CD18" i="86"/>
  <c r="CD13" i="86"/>
  <c r="CD17" i="86"/>
  <c r="AQ16" i="86"/>
  <c r="BB21" i="86"/>
  <c r="BB22" i="86" s="1"/>
  <c r="BQ8" i="86"/>
  <c r="BH8" i="86"/>
  <c r="BH9" i="86"/>
  <c r="BG7" i="86"/>
  <c r="BG21" i="86" s="1"/>
  <c r="BG22" i="86" s="1"/>
  <c r="BC8" i="86"/>
  <c r="BC9" i="86"/>
  <c r="BI17" i="86"/>
  <c r="AM7" i="86"/>
  <c r="BN18" i="86"/>
  <c r="BN16" i="86"/>
  <c r="BN11" i="86"/>
  <c r="AT11" i="86"/>
  <c r="BR13" i="86"/>
  <c r="BX18" i="86"/>
  <c r="BX16" i="86"/>
  <c r="BX11" i="86"/>
  <c r="BI19" i="86"/>
  <c r="BI13" i="86"/>
  <c r="BI10" i="86"/>
  <c r="BN19" i="86"/>
  <c r="BN17" i="86"/>
  <c r="BN13" i="86"/>
  <c r="BN10" i="86"/>
  <c r="BQ9" i="86"/>
  <c r="BX19" i="86"/>
  <c r="BX17" i="86"/>
  <c r="BX13" i="86"/>
  <c r="BX10" i="86"/>
  <c r="BY16" i="86"/>
  <c r="BY18" i="86"/>
  <c r="BW12" i="86"/>
  <c r="BY13" i="86"/>
  <c r="BY17" i="86"/>
  <c r="BU21" i="86"/>
  <c r="BW8" i="86"/>
  <c r="BO16" i="86"/>
  <c r="BM12" i="86"/>
  <c r="BO18" i="86"/>
  <c r="BO13" i="86"/>
  <c r="BO17" i="86"/>
  <c r="BK7" i="86"/>
  <c r="BM8" i="86"/>
  <c r="BJ17" i="86"/>
  <c r="BH12" i="86"/>
  <c r="BJ13" i="86"/>
  <c r="BJ19" i="86"/>
  <c r="BJ16" i="86"/>
  <c r="BE13" i="86"/>
  <c r="BE17" i="86"/>
  <c r="BE19" i="86"/>
  <c r="BE16" i="86"/>
  <c r="BA21" i="86"/>
  <c r="B15" i="88"/>
  <c r="B14" i="88"/>
  <c r="B13" i="88"/>
  <c r="B12" i="88"/>
  <c r="B11" i="88"/>
  <c r="H5" i="54"/>
  <c r="BE7" i="86" l="1"/>
  <c r="BA22" i="86"/>
  <c r="BY8" i="86"/>
  <c r="BU22" i="86"/>
  <c r="CQ19" i="86"/>
  <c r="CQ10" i="86"/>
  <c r="BT17" i="86"/>
  <c r="BT19" i="86"/>
  <c r="CD12" i="86"/>
  <c r="CD10" i="86"/>
  <c r="CQ13" i="86"/>
  <c r="CO8" i="86"/>
  <c r="CL8" i="86"/>
  <c r="CG7" i="86"/>
  <c r="CN17" i="86"/>
  <c r="CP8" i="86"/>
  <c r="CP12" i="86"/>
  <c r="CJ7" i="86"/>
  <c r="CJ21" i="86" s="1"/>
  <c r="CJ22" i="86" s="1"/>
  <c r="BT16" i="86"/>
  <c r="BT13" i="86"/>
  <c r="BR12" i="86"/>
  <c r="CO12" i="86"/>
  <c r="CQ17" i="86"/>
  <c r="CG9" i="86"/>
  <c r="CC8" i="86"/>
  <c r="BV7" i="86"/>
  <c r="CK9" i="86"/>
  <c r="CP9" i="86" s="1"/>
  <c r="BW9" i="86"/>
  <c r="CB7" i="86"/>
  <c r="CC9" i="86"/>
  <c r="CL9" i="86"/>
  <c r="CL12" i="86"/>
  <c r="CI21" i="86"/>
  <c r="CN13" i="86"/>
  <c r="CN16" i="86"/>
  <c r="CN18" i="86"/>
  <c r="CE21" i="86"/>
  <c r="BM9" i="86"/>
  <c r="BN9" i="86" s="1"/>
  <c r="BT18" i="86"/>
  <c r="BI8" i="86"/>
  <c r="CD9" i="86"/>
  <c r="CC12" i="86"/>
  <c r="CB21" i="86"/>
  <c r="CD21" i="86"/>
  <c r="CD8" i="86"/>
  <c r="CD11" i="86"/>
  <c r="CD7" i="86"/>
  <c r="BI12" i="86"/>
  <c r="BK21" i="86"/>
  <c r="BN12" i="86"/>
  <c r="BI9" i="86"/>
  <c r="BC7" i="86"/>
  <c r="BN8" i="86"/>
  <c r="BX8" i="86"/>
  <c r="BX12" i="86"/>
  <c r="BL7" i="86"/>
  <c r="BF7" i="86"/>
  <c r="BF21" i="86" s="1"/>
  <c r="BF22" i="86" s="1"/>
  <c r="BP9" i="86"/>
  <c r="BR8" i="86"/>
  <c r="BQ7" i="86"/>
  <c r="BY21" i="86"/>
  <c r="BY12" i="86"/>
  <c r="BY10" i="86"/>
  <c r="BY11" i="86"/>
  <c r="BY9" i="86"/>
  <c r="BY7" i="86"/>
  <c r="BO21" i="86"/>
  <c r="BJ21" i="86"/>
  <c r="BE21" i="86"/>
  <c r="BE11" i="86"/>
  <c r="H8" i="99" s="1"/>
  <c r="BE9" i="86"/>
  <c r="H6" i="99" s="1"/>
  <c r="BE12" i="86"/>
  <c r="H9" i="99" s="1"/>
  <c r="BE10" i="86"/>
  <c r="H7" i="99" s="1"/>
  <c r="BE8" i="86"/>
  <c r="H5" i="99" s="1"/>
  <c r="BC21" i="86"/>
  <c r="J10" i="53"/>
  <c r="K10" i="53"/>
  <c r="L10" i="53"/>
  <c r="M10" i="53"/>
  <c r="N10" i="53"/>
  <c r="I10" i="53"/>
  <c r="H10" i="53"/>
  <c r="AO10" i="86"/>
  <c r="BD10" i="86" s="1"/>
  <c r="AO11" i="86"/>
  <c r="BD11" i="86" s="1"/>
  <c r="BD13" i="86"/>
  <c r="AO16" i="86"/>
  <c r="BD16" i="86" s="1"/>
  <c r="AO17" i="86"/>
  <c r="BD17" i="86" s="1"/>
  <c r="AO18" i="86"/>
  <c r="BD18" i="86" s="1"/>
  <c r="AO19" i="86"/>
  <c r="BD19" i="86" s="1"/>
  <c r="H10" i="99" l="1"/>
  <c r="BO12" i="86"/>
  <c r="BK22" i="86"/>
  <c r="CI12" i="86"/>
  <c r="CE22" i="86"/>
  <c r="CQ12" i="86"/>
  <c r="CQ8" i="86"/>
  <c r="CI7" i="86"/>
  <c r="CI9" i="86"/>
  <c r="CN9" i="86"/>
  <c r="CN11" i="86"/>
  <c r="CN8" i="86"/>
  <c r="CN12" i="86"/>
  <c r="CN7" i="86"/>
  <c r="BO11" i="86"/>
  <c r="BT21" i="86"/>
  <c r="CS13" i="86"/>
  <c r="CS16" i="86"/>
  <c r="CS19" i="86"/>
  <c r="CS18" i="86"/>
  <c r="CS17" i="86"/>
  <c r="BP7" i="86"/>
  <c r="CO7" i="86" s="1"/>
  <c r="CO9" i="86"/>
  <c r="BO10" i="86"/>
  <c r="BX9" i="86"/>
  <c r="BW7" i="86"/>
  <c r="CC7" i="86" s="1"/>
  <c r="BV21" i="86"/>
  <c r="CK7" i="86"/>
  <c r="CP7" i="86" s="1"/>
  <c r="CG21" i="86"/>
  <c r="CN21" i="86"/>
  <c r="CI8" i="86"/>
  <c r="CI10" i="86"/>
  <c r="CI11" i="86"/>
  <c r="CN10" i="86"/>
  <c r="BO9" i="86"/>
  <c r="BO8" i="86"/>
  <c r="BO7" i="86"/>
  <c r="BQ21" i="86"/>
  <c r="BQ22" i="86" s="1"/>
  <c r="BM7" i="86"/>
  <c r="BL21" i="86"/>
  <c r="BR9" i="86"/>
  <c r="BH7" i="86"/>
  <c r="BI7" i="86" s="1"/>
  <c r="AT19" i="86"/>
  <c r="AT17" i="86"/>
  <c r="AT13" i="86"/>
  <c r="AO12" i="86"/>
  <c r="BD12" i="86" s="1"/>
  <c r="AO8" i="86"/>
  <c r="BD8" i="86" s="1"/>
  <c r="AQ17" i="86"/>
  <c r="AQ19" i="86"/>
  <c r="AT18" i="86"/>
  <c r="AT16" i="86"/>
  <c r="AT10" i="86"/>
  <c r="AQ18" i="86"/>
  <c r="E10" i="54"/>
  <c r="F10" i="54"/>
  <c r="G10" i="54"/>
  <c r="H10" i="54"/>
  <c r="I10" i="54"/>
  <c r="J10" i="54"/>
  <c r="K10" i="54"/>
  <c r="L10" i="54"/>
  <c r="M10" i="54"/>
  <c r="N10" i="54"/>
  <c r="D10" i="54"/>
  <c r="G10" i="53"/>
  <c r="F10" i="53"/>
  <c r="E10" i="53"/>
  <c r="D10" i="53"/>
  <c r="AQ21" i="86" l="1"/>
  <c r="BM21" i="86"/>
  <c r="BL22" i="86"/>
  <c r="BW21" i="86"/>
  <c r="CC21" i="86" s="1"/>
  <c r="BV22" i="86"/>
  <c r="CQ7" i="86"/>
  <c r="CQ9" i="86"/>
  <c r="CK21" i="86"/>
  <c r="CL7" i="86"/>
  <c r="BJ11" i="86"/>
  <c r="I8" i="99" s="1"/>
  <c r="BJ10" i="86"/>
  <c r="I7" i="99" s="1"/>
  <c r="BJ8" i="86"/>
  <c r="I5" i="99" s="1"/>
  <c r="BJ12" i="86"/>
  <c r="I9" i="99" s="1"/>
  <c r="BJ9" i="86"/>
  <c r="I6" i="99" s="1"/>
  <c r="BH21" i="86"/>
  <c r="BI21" i="86" s="1"/>
  <c r="BP21" i="86"/>
  <c r="BR7" i="86"/>
  <c r="BJ7" i="86"/>
  <c r="AN7" i="86"/>
  <c r="AO7" i="86" s="1"/>
  <c r="BX7" i="86"/>
  <c r="BN7" i="86"/>
  <c r="AO9" i="86"/>
  <c r="BD9" i="86" s="1"/>
  <c r="AM21" i="86"/>
  <c r="AJ10" i="86"/>
  <c r="AP10" i="86" s="1"/>
  <c r="AJ11" i="86"/>
  <c r="AP11" i="86" s="1"/>
  <c r="AJ13" i="86"/>
  <c r="AP13" i="86" s="1"/>
  <c r="AJ16" i="86"/>
  <c r="AP16" i="86" s="1"/>
  <c r="AJ17" i="86"/>
  <c r="AP17" i="86" s="1"/>
  <c r="AJ18" i="86"/>
  <c r="AP18" i="86" s="1"/>
  <c r="AJ19" i="86"/>
  <c r="AP19" i="86" s="1"/>
  <c r="AE10" i="86"/>
  <c r="AE11" i="86"/>
  <c r="AE13" i="86"/>
  <c r="AE16" i="86"/>
  <c r="AE17" i="86"/>
  <c r="AE18" i="86"/>
  <c r="AE19" i="86"/>
  <c r="AM22" i="86" l="1"/>
  <c r="AQ8" i="86"/>
  <c r="G5" i="99" s="1"/>
  <c r="I10" i="99"/>
  <c r="CO21" i="86"/>
  <c r="CS10" i="86" s="1"/>
  <c r="BP22" i="86"/>
  <c r="CL21" i="86"/>
  <c r="CK22" i="86"/>
  <c r="BX21" i="86"/>
  <c r="BR21" i="86"/>
  <c r="AL19" i="86"/>
  <c r="CP21" i="86"/>
  <c r="CS12" i="86"/>
  <c r="BN21" i="86"/>
  <c r="AQ11" i="86"/>
  <c r="G8" i="99" s="1"/>
  <c r="AQ10" i="86"/>
  <c r="G7" i="99" s="1"/>
  <c r="AQ12" i="86"/>
  <c r="G9" i="99" s="1"/>
  <c r="AQ9" i="86"/>
  <c r="G6" i="99" s="1"/>
  <c r="AQ7" i="86"/>
  <c r="BT11" i="86"/>
  <c r="BT12" i="86"/>
  <c r="BT10" i="86"/>
  <c r="BT8" i="86"/>
  <c r="BT9" i="86"/>
  <c r="BD7" i="86"/>
  <c r="BT7" i="86"/>
  <c r="AE12" i="86"/>
  <c r="AJ12" i="86"/>
  <c r="AK18" i="86"/>
  <c r="AK16" i="86"/>
  <c r="AK10" i="86"/>
  <c r="AL13" i="86"/>
  <c r="AL17" i="86"/>
  <c r="AE8" i="86"/>
  <c r="AK19" i="86"/>
  <c r="AK17" i="86"/>
  <c r="AK13" i="86"/>
  <c r="AK11" i="86"/>
  <c r="AL16" i="86"/>
  <c r="AL18" i="86"/>
  <c r="AN21" i="86"/>
  <c r="AN22" i="86" s="1"/>
  <c r="Z16" i="86"/>
  <c r="Z17" i="86"/>
  <c r="AW17" i="86" s="1"/>
  <c r="Z18" i="86"/>
  <c r="AW18" i="86" s="1"/>
  <c r="Z19" i="86"/>
  <c r="AW19" i="86" s="1"/>
  <c r="Z13" i="86"/>
  <c r="AW13" i="86" s="1"/>
  <c r="Z10" i="86"/>
  <c r="AW10" i="86" s="1"/>
  <c r="Z11" i="86"/>
  <c r="AW11" i="86" s="1"/>
  <c r="Y10" i="86"/>
  <c r="Y11" i="86"/>
  <c r="AV11" i="86" s="1"/>
  <c r="Y13" i="86"/>
  <c r="AV13" i="86" s="1"/>
  <c r="Y16" i="86"/>
  <c r="AV16" i="86" s="1"/>
  <c r="Y17" i="86"/>
  <c r="AV17" i="86" s="1"/>
  <c r="Y18" i="86"/>
  <c r="AV18" i="86" s="1"/>
  <c r="Y19" i="86"/>
  <c r="AV19" i="86" s="1"/>
  <c r="V10" i="86"/>
  <c r="V11" i="86"/>
  <c r="V13" i="86"/>
  <c r="V16" i="86"/>
  <c r="V17" i="86"/>
  <c r="V18" i="86"/>
  <c r="V19" i="86"/>
  <c r="G10" i="99" l="1"/>
  <c r="CS9" i="86"/>
  <c r="CS11" i="86"/>
  <c r="CS8" i="86"/>
  <c r="CQ21" i="86"/>
  <c r="CP22" i="86"/>
  <c r="CS7" i="86"/>
  <c r="CO22" i="86"/>
  <c r="AA11" i="86"/>
  <c r="AF11" i="86" s="1"/>
  <c r="AA17" i="86"/>
  <c r="AF17" i="86" s="1"/>
  <c r="CU18" i="86"/>
  <c r="CU16" i="86"/>
  <c r="AW16" i="86"/>
  <c r="CT10" i="86"/>
  <c r="AV10" i="86"/>
  <c r="AX10" i="86" s="1"/>
  <c r="CT19" i="86"/>
  <c r="CT17" i="86"/>
  <c r="CT13" i="86"/>
  <c r="CU10" i="86"/>
  <c r="CU19" i="86"/>
  <c r="CU17" i="86"/>
  <c r="CV17" i="86" s="1"/>
  <c r="CT18" i="86"/>
  <c r="CT16" i="86"/>
  <c r="CT11" i="86"/>
  <c r="CU11" i="86"/>
  <c r="AX13" i="86"/>
  <c r="CU13" i="86"/>
  <c r="AU19" i="86"/>
  <c r="AA19" i="86"/>
  <c r="AF19" i="86" s="1"/>
  <c r="AA13" i="86"/>
  <c r="AA10" i="86"/>
  <c r="AF10" i="86" s="1"/>
  <c r="AO21" i="86"/>
  <c r="BD21" i="86" s="1"/>
  <c r="AU16" i="86"/>
  <c r="AU13" i="86"/>
  <c r="AU18" i="86"/>
  <c r="AU17" i="86"/>
  <c r="AE9" i="86"/>
  <c r="AD7" i="86"/>
  <c r="AA18" i="86"/>
  <c r="AA16" i="86"/>
  <c r="AI7" i="86"/>
  <c r="AT12" i="86"/>
  <c r="AP12" i="86"/>
  <c r="AK12" i="86"/>
  <c r="AC7" i="86"/>
  <c r="Q18" i="86"/>
  <c r="Q19" i="86"/>
  <c r="P7" i="86"/>
  <c r="O7" i="86"/>
  <c r="L10" i="86"/>
  <c r="L11" i="86"/>
  <c r="L13" i="86"/>
  <c r="L16" i="86"/>
  <c r="L17" i="86"/>
  <c r="L18" i="86"/>
  <c r="L19" i="86"/>
  <c r="CV19" i="86" l="1"/>
  <c r="O21" i="86"/>
  <c r="O22" i="86" s="1"/>
  <c r="CU12" i="86"/>
  <c r="CT12" i="86"/>
  <c r="CX20" i="86" s="1"/>
  <c r="CV10" i="86"/>
  <c r="R18" i="86"/>
  <c r="S11" i="86"/>
  <c r="C8" i="99" s="1"/>
  <c r="S10" i="86"/>
  <c r="C7" i="99" s="1"/>
  <c r="S12" i="86"/>
  <c r="C9" i="99" s="1"/>
  <c r="S8" i="86"/>
  <c r="C5" i="99" s="1"/>
  <c r="S9" i="86"/>
  <c r="C6" i="99" s="1"/>
  <c r="P21" i="86"/>
  <c r="Q7" i="86"/>
  <c r="CV11" i="86"/>
  <c r="AX18" i="86"/>
  <c r="AX16" i="86"/>
  <c r="AX17" i="86"/>
  <c r="AX19" i="86"/>
  <c r="AF13" i="86"/>
  <c r="CV13" i="86"/>
  <c r="CV18" i="86"/>
  <c r="CV16" i="86"/>
  <c r="AU21" i="86"/>
  <c r="V8" i="86"/>
  <c r="Z8" i="86"/>
  <c r="V12" i="86"/>
  <c r="W12" i="86" s="1"/>
  <c r="Y8" i="86"/>
  <c r="AV8" i="86" s="1"/>
  <c r="AV12" i="86"/>
  <c r="AC21" i="86"/>
  <c r="AS7" i="86"/>
  <c r="AI21" i="86"/>
  <c r="AI22" i="86" s="1"/>
  <c r="AF16" i="86"/>
  <c r="AF18" i="86"/>
  <c r="AE7" i="86"/>
  <c r="AX11" i="86"/>
  <c r="L12" i="86"/>
  <c r="M12" i="86" s="1"/>
  <c r="AZ15" i="86" l="1"/>
  <c r="AZ14" i="86"/>
  <c r="C10" i="99"/>
  <c r="CX16" i="86"/>
  <c r="AG7" i="86"/>
  <c r="AC22" i="86"/>
  <c r="AZ20" i="86"/>
  <c r="AZ19" i="86"/>
  <c r="Q21" i="86"/>
  <c r="P22" i="86"/>
  <c r="CX19" i="86"/>
  <c r="CV12" i="86"/>
  <c r="CU8" i="86"/>
  <c r="AW8" i="86"/>
  <c r="M8" i="86"/>
  <c r="R8" i="86"/>
  <c r="T7" i="86"/>
  <c r="T21" i="86" s="1"/>
  <c r="K7" i="86"/>
  <c r="CX17" i="86"/>
  <c r="CX13" i="86"/>
  <c r="CX18" i="86"/>
  <c r="AB17" i="86"/>
  <c r="AB16" i="86"/>
  <c r="AB13" i="86"/>
  <c r="AB19" i="86"/>
  <c r="AB18" i="86"/>
  <c r="AA8" i="86"/>
  <c r="AG11" i="86"/>
  <c r="E8" i="99" s="1"/>
  <c r="AG10" i="86"/>
  <c r="E7" i="99" s="1"/>
  <c r="AG8" i="86"/>
  <c r="E5" i="99" s="1"/>
  <c r="AG9" i="86"/>
  <c r="E6" i="99" s="1"/>
  <c r="AA12" i="86"/>
  <c r="AX12" i="86"/>
  <c r="S7" i="86"/>
  <c r="D8" i="86"/>
  <c r="D9" i="86" s="1"/>
  <c r="CH10" i="86"/>
  <c r="CH11" i="86"/>
  <c r="CH13" i="86"/>
  <c r="CH16" i="86"/>
  <c r="CH17" i="86"/>
  <c r="CH18" i="86"/>
  <c r="CH19" i="86"/>
  <c r="CH12" i="86"/>
  <c r="D12" i="86"/>
  <c r="CX21" i="86" l="1"/>
  <c r="K21" i="86"/>
  <c r="AF12" i="86"/>
  <c r="AF8" i="86"/>
  <c r="AZ18" i="86"/>
  <c r="AZ17" i="86"/>
  <c r="AZ16" i="86"/>
  <c r="AZ13" i="86"/>
  <c r="D7" i="86"/>
  <c r="CH8" i="86"/>
  <c r="D21" i="86"/>
  <c r="AZ21" i="86" l="1"/>
  <c r="K22" i="86"/>
  <c r="CH9" i="86"/>
  <c r="CT8" i="86"/>
  <c r="X19" i="86"/>
  <c r="AG13" i="86"/>
  <c r="CV8" i="86" l="1"/>
  <c r="AJ8" i="86"/>
  <c r="AD21" i="86"/>
  <c r="AD22" i="86" s="1"/>
  <c r="X18" i="86"/>
  <c r="X17" i="86"/>
  <c r="X16" i="86"/>
  <c r="X13" i="86"/>
  <c r="S17" i="86"/>
  <c r="S18" i="86"/>
  <c r="S16" i="86"/>
  <c r="N16" i="86"/>
  <c r="S13" i="86"/>
  <c r="W19" i="86"/>
  <c r="W13" i="86"/>
  <c r="W11" i="86"/>
  <c r="CH7" i="86" l="1"/>
  <c r="AE21" i="86"/>
  <c r="AS21" i="86"/>
  <c r="AS22" i="86" s="1"/>
  <c r="AJ9" i="86"/>
  <c r="AP8" i="86"/>
  <c r="AK8" i="86"/>
  <c r="AH7" i="86"/>
  <c r="AR7" i="86" s="1"/>
  <c r="AT8" i="86"/>
  <c r="W8" i="86"/>
  <c r="W10" i="86"/>
  <c r="W16" i="86"/>
  <c r="W18" i="86"/>
  <c r="AG12" i="86"/>
  <c r="E9" i="99" s="1"/>
  <c r="T22" i="86"/>
  <c r="W17" i="86"/>
  <c r="AX8" i="86" l="1"/>
  <c r="AK9" i="86"/>
  <c r="AP9" i="86"/>
  <c r="AT9" i="86"/>
  <c r="AH21" i="86"/>
  <c r="AH22" i="86" s="1"/>
  <c r="AJ7" i="86"/>
  <c r="X7" i="86"/>
  <c r="AG21" i="86"/>
  <c r="X11" i="86"/>
  <c r="D8" i="99" s="1"/>
  <c r="X9" i="86"/>
  <c r="D6" i="99" s="1"/>
  <c r="X12" i="86"/>
  <c r="D9" i="99" s="1"/>
  <c r="X10" i="86"/>
  <c r="D7" i="99" s="1"/>
  <c r="X8" i="86"/>
  <c r="D5" i="99" s="1"/>
  <c r="D10" i="99" l="1"/>
  <c r="AP7" i="86"/>
  <c r="AK7" i="86"/>
  <c r="AL10" i="86"/>
  <c r="F7" i="99" s="1"/>
  <c r="AR21" i="86"/>
  <c r="AR22" i="86" s="1"/>
  <c r="AL12" i="86"/>
  <c r="F9" i="99" s="1"/>
  <c r="AJ21" i="86"/>
  <c r="AL8" i="86"/>
  <c r="F5" i="99" s="1"/>
  <c r="AL9" i="86"/>
  <c r="F6" i="99" s="1"/>
  <c r="AL11" i="86"/>
  <c r="F8" i="99" s="1"/>
  <c r="AL7" i="86"/>
  <c r="AT7" i="86"/>
  <c r="X21" i="86"/>
  <c r="S21" i="86"/>
  <c r="C7" i="54"/>
  <c r="C8" i="54"/>
  <c r="C9" i="54"/>
  <c r="C5" i="54"/>
  <c r="B7" i="54"/>
  <c r="B8" i="54"/>
  <c r="F10" i="99" l="1"/>
  <c r="AU11" i="86"/>
  <c r="AU7" i="86"/>
  <c r="AL21" i="86"/>
  <c r="AK21" i="86"/>
  <c r="AP21" i="86"/>
  <c r="AU10" i="86"/>
  <c r="AU12" i="86"/>
  <c r="AU8" i="86"/>
  <c r="AU9" i="86"/>
  <c r="AT21" i="86"/>
  <c r="R10" i="86"/>
  <c r="R11" i="86"/>
  <c r="R17" i="86" l="1"/>
  <c r="R16" i="86"/>
  <c r="R12" i="86"/>
  <c r="R19" i="86"/>
  <c r="R13" i="86"/>
  <c r="N18" i="86"/>
  <c r="N17" i="86"/>
  <c r="N21" i="86" l="1"/>
  <c r="M19" i="86"/>
  <c r="M18" i="86"/>
  <c r="M17" i="86"/>
  <c r="M16" i="86"/>
  <c r="M13" i="86"/>
  <c r="M11" i="86"/>
  <c r="M10" i="86"/>
  <c r="B5" i="54" l="1"/>
  <c r="B6" i="54"/>
  <c r="B9" i="54"/>
  <c r="B8" i="53" l="1"/>
  <c r="B7" i="53"/>
  <c r="B9" i="53"/>
  <c r="B6" i="53"/>
  <c r="B5" i="53"/>
  <c r="CH21" i="86" l="1"/>
  <c r="B10" i="53"/>
  <c r="CE9" i="64" l="1"/>
  <c r="CF9" i="64"/>
  <c r="CE10" i="64"/>
  <c r="CF10" i="64"/>
  <c r="CE11" i="64"/>
  <c r="CF11" i="64"/>
  <c r="CE12" i="64"/>
  <c r="CF12" i="64"/>
  <c r="CE13" i="64"/>
  <c r="CF13" i="64"/>
  <c r="CF5" i="64"/>
  <c r="CF6" i="64"/>
  <c r="CF7" i="64"/>
  <c r="CE6" i="64"/>
  <c r="CE7" i="64"/>
  <c r="CG7" i="64" l="1"/>
  <c r="CG6" i="64"/>
  <c r="CG13" i="64"/>
  <c r="CG12" i="64"/>
  <c r="CG11" i="64"/>
  <c r="CG10" i="64"/>
  <c r="CG9" i="64"/>
  <c r="CA8" i="64" l="1"/>
  <c r="BZ8" i="64"/>
  <c r="CA4" i="64"/>
  <c r="BZ5" i="64"/>
  <c r="BZ4" i="64"/>
  <c r="CE5" i="64" l="1"/>
  <c r="BZ14" i="64"/>
  <c r="CA14" i="64"/>
  <c r="CD13" i="64"/>
  <c r="CB13" i="64"/>
  <c r="CD12" i="64"/>
  <c r="CB12" i="64"/>
  <c r="CD11" i="64"/>
  <c r="CB11" i="64"/>
  <c r="CD10" i="64"/>
  <c r="CB10" i="64"/>
  <c r="CD9" i="64"/>
  <c r="CB9" i="64"/>
  <c r="CB8" i="64"/>
  <c r="CB7" i="64"/>
  <c r="CB6" i="64"/>
  <c r="CB5" i="64"/>
  <c r="CG5" i="64" l="1"/>
  <c r="CD7" i="64"/>
  <c r="CD5" i="64"/>
  <c r="CD8" i="64"/>
  <c r="CD6" i="64"/>
  <c r="CB14" i="64"/>
  <c r="CB4" i="64"/>
  <c r="CD4" i="64"/>
  <c r="BV4" i="64"/>
  <c r="BV14" i="64" s="1"/>
  <c r="CD14" i="64" l="1"/>
  <c r="BU4" i="64"/>
  <c r="BU14" i="64" l="1"/>
  <c r="BQ8" i="64"/>
  <c r="BP8" i="64"/>
  <c r="A8" i="64"/>
  <c r="BQ4" i="64"/>
  <c r="BQ14" i="64" l="1"/>
  <c r="CF4" i="64"/>
  <c r="CE8" i="64"/>
  <c r="CF8" i="64"/>
  <c r="BP4" i="64"/>
  <c r="CE4" i="64" s="1"/>
  <c r="BW14" i="64"/>
  <c r="CC14" i="64" s="1"/>
  <c r="BY13" i="64"/>
  <c r="BW13" i="64"/>
  <c r="CC13" i="64" s="1"/>
  <c r="BY12" i="64"/>
  <c r="BW12" i="64"/>
  <c r="CC12" i="64" s="1"/>
  <c r="BY11" i="64"/>
  <c r="BW11" i="64"/>
  <c r="CC11" i="64" s="1"/>
  <c r="BY10" i="64"/>
  <c r="BW10" i="64"/>
  <c r="CC10" i="64" s="1"/>
  <c r="BY9" i="64"/>
  <c r="BW9" i="64"/>
  <c r="CC9" i="64" s="1"/>
  <c r="BY8" i="64"/>
  <c r="BW8" i="64"/>
  <c r="CC8" i="64" s="1"/>
  <c r="BY7" i="64"/>
  <c r="BW7" i="64"/>
  <c r="CC7" i="64" s="1"/>
  <c r="BY6" i="64"/>
  <c r="BW6" i="64"/>
  <c r="CC6" i="64" s="1"/>
  <c r="BY5" i="64"/>
  <c r="BW5" i="64"/>
  <c r="CC5" i="64" s="1"/>
  <c r="BY4" i="64"/>
  <c r="BW4" i="64"/>
  <c r="CC4" i="64" s="1"/>
  <c r="BR13" i="64"/>
  <c r="BR12" i="64"/>
  <c r="BR11" i="64"/>
  <c r="BR10" i="64"/>
  <c r="BR9" i="64"/>
  <c r="BR8" i="64"/>
  <c r="BR7" i="64"/>
  <c r="BR6" i="64"/>
  <c r="BR5" i="64"/>
  <c r="BT13" i="64"/>
  <c r="BT12" i="64"/>
  <c r="BT11" i="64"/>
  <c r="BT10" i="64"/>
  <c r="BT9" i="64"/>
  <c r="BR4" i="64" l="1"/>
  <c r="CG8" i="64"/>
  <c r="CH13" i="64"/>
  <c r="CH11" i="64"/>
  <c r="CH9" i="64"/>
  <c r="CH12" i="64"/>
  <c r="CH10" i="64"/>
  <c r="CG4" i="64"/>
  <c r="CF14" i="64"/>
  <c r="CE14" i="64"/>
  <c r="BY14" i="64"/>
  <c r="BP14" i="64"/>
  <c r="BT7" i="64" s="1"/>
  <c r="BT5" i="64"/>
  <c r="BT6" i="64"/>
  <c r="BT4" i="64"/>
  <c r="BR14" i="64" l="1"/>
  <c r="BT8" i="64"/>
  <c r="BT14" i="64" s="1"/>
  <c r="CG14" i="64"/>
  <c r="CH6" i="64"/>
  <c r="CH7" i="64"/>
  <c r="CH5" i="64"/>
  <c r="CH4" i="64"/>
  <c r="CH8" i="64"/>
  <c r="CH14" i="64" l="1"/>
  <c r="BA8" i="64" l="1"/>
  <c r="AZ8" i="64"/>
  <c r="BA4" i="64"/>
  <c r="BA14" i="64" s="1"/>
  <c r="AZ4" i="64"/>
  <c r="BB13" i="64"/>
  <c r="BS13" i="64" s="1"/>
  <c r="BB12" i="64"/>
  <c r="BS12" i="64" s="1"/>
  <c r="BB11" i="64"/>
  <c r="BS11" i="64" s="1"/>
  <c r="BB10" i="64"/>
  <c r="BS10" i="64" s="1"/>
  <c r="BB9" i="64"/>
  <c r="BS9" i="64" s="1"/>
  <c r="BB7" i="64"/>
  <c r="BS7" i="64" s="1"/>
  <c r="BB6" i="64"/>
  <c r="BS6" i="64" s="1"/>
  <c r="BB5" i="64"/>
  <c r="BS5" i="64" s="1"/>
  <c r="BD13" i="64" l="1"/>
  <c r="AZ14" i="64"/>
  <c r="BD5" i="64" s="1"/>
  <c r="BB4" i="64"/>
  <c r="BS4" i="64" s="1"/>
  <c r="BB8" i="64"/>
  <c r="BS8" i="64" s="1"/>
  <c r="BD10" i="64"/>
  <c r="BD12" i="64"/>
  <c r="BD9" i="64"/>
  <c r="BD11" i="64"/>
  <c r="AV8" i="64"/>
  <c r="AV15" i="64"/>
  <c r="AU8" i="64"/>
  <c r="AU15" i="64"/>
  <c r="AV4" i="64"/>
  <c r="AU4" i="64"/>
  <c r="BD6" i="64" l="1"/>
  <c r="BD7" i="64"/>
  <c r="BD8" i="64"/>
  <c r="BD4" i="64"/>
  <c r="BB14" i="64"/>
  <c r="BS14" i="64" s="1"/>
  <c r="AY13" i="64"/>
  <c r="AW13" i="64"/>
  <c r="AY12" i="64"/>
  <c r="AW12" i="64"/>
  <c r="AY11" i="64"/>
  <c r="AW11" i="64"/>
  <c r="AY10" i="64"/>
  <c r="AW10" i="64"/>
  <c r="AY9" i="64"/>
  <c r="AW9" i="64"/>
  <c r="AW8" i="64"/>
  <c r="AW7" i="64"/>
  <c r="AW6" i="64"/>
  <c r="AW5" i="64"/>
  <c r="AW4" i="64"/>
  <c r="AU14" i="64"/>
  <c r="BD14" i="64" l="1"/>
  <c r="BC6" i="64"/>
  <c r="BC8" i="64"/>
  <c r="BC5" i="64"/>
  <c r="BC7" i="64"/>
  <c r="BC9" i="64"/>
  <c r="BC10" i="64"/>
  <c r="BC11" i="64"/>
  <c r="BC12" i="64"/>
  <c r="BC13" i="64"/>
  <c r="BC4" i="64"/>
  <c r="AY8" i="64"/>
  <c r="AY6" i="64"/>
  <c r="AY7" i="64"/>
  <c r="AY5" i="64"/>
  <c r="AV14" i="64"/>
  <c r="AW14" i="64" s="1"/>
  <c r="AY4" i="64"/>
  <c r="AQ4" i="64"/>
  <c r="AQ14" i="64" s="1"/>
  <c r="AP4" i="64"/>
  <c r="AY14" i="64" l="1"/>
  <c r="AP14" i="64"/>
  <c r="AT4" i="64" s="1"/>
  <c r="BC14" i="64"/>
  <c r="AT13" i="64"/>
  <c r="AT12" i="64"/>
  <c r="AT11" i="64"/>
  <c r="AT10" i="64"/>
  <c r="AT9" i="64"/>
  <c r="AR13" i="64"/>
  <c r="AR12" i="64"/>
  <c r="AX12" i="64" s="1"/>
  <c r="AR11" i="64"/>
  <c r="AR10" i="64"/>
  <c r="AX10" i="64" s="1"/>
  <c r="AR9" i="64"/>
  <c r="AX9" i="64" s="1"/>
  <c r="AR8" i="64"/>
  <c r="AR7" i="64"/>
  <c r="AR6" i="64"/>
  <c r="AR5" i="64"/>
  <c r="AR4" i="64"/>
  <c r="AT8" i="64" l="1"/>
  <c r="AX4" i="64"/>
  <c r="AX6" i="64"/>
  <c r="AX8" i="64"/>
  <c r="AX5" i="64"/>
  <c r="AX7" i="64"/>
  <c r="AX11" i="64"/>
  <c r="AX13" i="64"/>
  <c r="AT5" i="64"/>
  <c r="AT7" i="64"/>
  <c r="AT6" i="64"/>
  <c r="AR14" i="64"/>
  <c r="AM5" i="64"/>
  <c r="AM6" i="64"/>
  <c r="AM7" i="64"/>
  <c r="AM9" i="64"/>
  <c r="AM10" i="64"/>
  <c r="AM11" i="64"/>
  <c r="AM12" i="64"/>
  <c r="AM13" i="64"/>
  <c r="BF12" i="64" l="1"/>
  <c r="CK12" i="64" s="1"/>
  <c r="BF10" i="64"/>
  <c r="CK10" i="64" s="1"/>
  <c r="BF7" i="64"/>
  <c r="CK7" i="64" s="1"/>
  <c r="BF5" i="64"/>
  <c r="CK5" i="64" s="1"/>
  <c r="BF13" i="64"/>
  <c r="CK13" i="64" s="1"/>
  <c r="BF11" i="64"/>
  <c r="CK11" i="64" s="1"/>
  <c r="BF9" i="64"/>
  <c r="CK9" i="64" s="1"/>
  <c r="BF6" i="64"/>
  <c r="CK6" i="64" s="1"/>
  <c r="AX14" i="64"/>
  <c r="AT14" i="64"/>
  <c r="AL5" i="64"/>
  <c r="AL6" i="64"/>
  <c r="AL7" i="64"/>
  <c r="AL9" i="64"/>
  <c r="AL10" i="64"/>
  <c r="AL11" i="64"/>
  <c r="AL12" i="64"/>
  <c r="AL13" i="64"/>
  <c r="BF8" i="64" l="1"/>
  <c r="CK8" i="64" s="1"/>
  <c r="BE12" i="64"/>
  <c r="CJ12" i="64" s="1"/>
  <c r="BE10" i="64"/>
  <c r="CJ10" i="64" s="1"/>
  <c r="BE13" i="64"/>
  <c r="CJ13" i="64" s="1"/>
  <c r="BE11" i="64"/>
  <c r="CJ11" i="64" s="1"/>
  <c r="BE9" i="64"/>
  <c r="CJ9" i="64" s="1"/>
  <c r="BN8" i="64"/>
  <c r="BN6" i="64"/>
  <c r="BN9" i="64"/>
  <c r="BN11" i="64"/>
  <c r="BN13" i="64"/>
  <c r="BN5" i="64"/>
  <c r="BN7" i="64"/>
  <c r="BN10" i="64"/>
  <c r="BN12" i="64"/>
  <c r="BE6" i="64"/>
  <c r="CJ6" i="64" s="1"/>
  <c r="BE7" i="64"/>
  <c r="CJ7" i="64" s="1"/>
  <c r="BE5" i="64"/>
  <c r="CJ5" i="64" s="1"/>
  <c r="AN10" i="64"/>
  <c r="AN11" i="64"/>
  <c r="AN12" i="64"/>
  <c r="AN13" i="64"/>
  <c r="AN5" i="64"/>
  <c r="AN6" i="64"/>
  <c r="AN7" i="64"/>
  <c r="AN9" i="64"/>
  <c r="BG10" i="64" l="1"/>
  <c r="BO10" i="64" s="1"/>
  <c r="BM11" i="64"/>
  <c r="BG12" i="64"/>
  <c r="BO12" i="64" s="1"/>
  <c r="BG9" i="64"/>
  <c r="BX9" i="64" s="1"/>
  <c r="BE8" i="64"/>
  <c r="CJ8" i="64" s="1"/>
  <c r="BO9" i="64"/>
  <c r="BM9" i="64"/>
  <c r="BM13" i="64"/>
  <c r="BG13" i="64"/>
  <c r="BX12" i="64"/>
  <c r="BM5" i="64"/>
  <c r="BM7" i="64"/>
  <c r="BX10" i="64"/>
  <c r="BM6" i="64"/>
  <c r="BG11" i="64"/>
  <c r="BM10" i="64"/>
  <c r="BM12" i="64"/>
  <c r="BG8" i="64"/>
  <c r="BG5" i="64"/>
  <c r="BG7" i="64"/>
  <c r="BG6" i="64"/>
  <c r="AH8" i="64"/>
  <c r="AG8" i="64"/>
  <c r="AH4" i="64"/>
  <c r="AG4" i="64"/>
  <c r="AI13" i="64"/>
  <c r="AS13" i="64" s="1"/>
  <c r="AI12" i="64"/>
  <c r="AS12" i="64" s="1"/>
  <c r="AI11" i="64"/>
  <c r="AS11" i="64" s="1"/>
  <c r="AI10" i="64"/>
  <c r="AS10" i="64" s="1"/>
  <c r="AI9" i="64"/>
  <c r="AS9" i="64" s="1"/>
  <c r="AI7" i="64"/>
  <c r="AS7" i="64" s="1"/>
  <c r="AI6" i="64"/>
  <c r="AS6" i="64" s="1"/>
  <c r="AI5" i="64"/>
  <c r="AS5" i="64" s="1"/>
  <c r="BH11" i="64" l="1"/>
  <c r="BH9" i="64"/>
  <c r="BH12" i="64"/>
  <c r="BH13" i="64"/>
  <c r="BH10" i="64"/>
  <c r="BM8" i="64"/>
  <c r="BO7" i="64"/>
  <c r="BX7" i="64"/>
  <c r="BO13" i="64"/>
  <c r="BX13" i="64"/>
  <c r="AI8" i="64"/>
  <c r="AS8" i="64" s="1"/>
  <c r="AL8" i="64"/>
  <c r="AO12" i="64" s="1"/>
  <c r="BO6" i="64"/>
  <c r="BX6" i="64"/>
  <c r="BO5" i="64"/>
  <c r="BX5" i="64"/>
  <c r="BO8" i="64"/>
  <c r="BX8" i="64"/>
  <c r="BO11" i="64"/>
  <c r="BX11" i="64"/>
  <c r="AK12" i="64"/>
  <c r="AK10" i="64"/>
  <c r="AH14" i="64"/>
  <c r="AG14" i="64"/>
  <c r="AK8" i="64" s="1"/>
  <c r="AK9" i="64"/>
  <c r="AK13" i="64"/>
  <c r="AK11" i="64"/>
  <c r="AI4" i="64"/>
  <c r="AS4" i="64" s="1"/>
  <c r="AO11" i="64" l="1"/>
  <c r="AO13" i="64"/>
  <c r="AO9" i="64"/>
  <c r="AO10" i="64"/>
  <c r="AI14" i="64"/>
  <c r="AS14" i="64" s="1"/>
  <c r="AK6" i="64"/>
  <c r="AK5" i="64"/>
  <c r="AK7" i="64"/>
  <c r="AK4" i="64"/>
  <c r="AF10" i="64"/>
  <c r="AF11" i="64"/>
  <c r="AF12" i="64"/>
  <c r="AF13" i="64"/>
  <c r="AC8" i="64"/>
  <c r="AA10" i="64"/>
  <c r="AA11" i="64"/>
  <c r="AA12" i="64"/>
  <c r="AA13" i="64"/>
  <c r="AA9" i="64"/>
  <c r="AC4" i="64"/>
  <c r="AB4" i="64"/>
  <c r="AD13" i="64"/>
  <c r="AD12" i="64"/>
  <c r="AD11" i="64"/>
  <c r="AD10" i="64"/>
  <c r="AJ10" i="64" s="1"/>
  <c r="AD8" i="64"/>
  <c r="AD7" i="64"/>
  <c r="AD6" i="64"/>
  <c r="AD5" i="64"/>
  <c r="AD4" i="64" l="1"/>
  <c r="AJ4" i="64" s="1"/>
  <c r="AM8" i="64"/>
  <c r="AJ6" i="64"/>
  <c r="AJ8" i="64"/>
  <c r="AJ12" i="64"/>
  <c r="AB14" i="64"/>
  <c r="AJ5" i="64"/>
  <c r="AJ7" i="64"/>
  <c r="AJ11" i="64"/>
  <c r="AJ13" i="64"/>
  <c r="AK14" i="64"/>
  <c r="AC14" i="64"/>
  <c r="X4" i="64"/>
  <c r="W4" i="64"/>
  <c r="Y13" i="64"/>
  <c r="Y12" i="64"/>
  <c r="AE12" i="64" s="1"/>
  <c r="Y11" i="64"/>
  <c r="Y10" i="64"/>
  <c r="Y9" i="64"/>
  <c r="Y8" i="64"/>
  <c r="Y7" i="64"/>
  <c r="AE7" i="64" s="1"/>
  <c r="Y6" i="64"/>
  <c r="AE6" i="64" s="1"/>
  <c r="Y5" i="64"/>
  <c r="W14" i="64"/>
  <c r="AA5" i="64" s="1"/>
  <c r="AN8" i="64" l="1"/>
  <c r="AA8" i="64"/>
  <c r="AA6" i="64"/>
  <c r="AF5" i="64"/>
  <c r="AF7" i="64"/>
  <c r="AF6" i="64"/>
  <c r="AF8" i="64"/>
  <c r="AE8" i="64"/>
  <c r="X14" i="64"/>
  <c r="Y14" i="64" s="1"/>
  <c r="AE10" i="64"/>
  <c r="AA4" i="64"/>
  <c r="AA7" i="64"/>
  <c r="AF4" i="64"/>
  <c r="AE13" i="64"/>
  <c r="AE11" i="64"/>
  <c r="AE5" i="64"/>
  <c r="AD14" i="64"/>
  <c r="Y4" i="64"/>
  <c r="AE4" i="64" l="1"/>
  <c r="AE14" i="64"/>
  <c r="AJ14" i="64"/>
  <c r="AF14" i="64"/>
  <c r="AA14" i="64"/>
  <c r="V10" i="64" l="1"/>
  <c r="V11" i="64"/>
  <c r="V12" i="64"/>
  <c r="V13" i="64"/>
  <c r="V9" i="64"/>
  <c r="S4" i="64" l="1"/>
  <c r="R4" i="64"/>
  <c r="T13" i="64"/>
  <c r="T12" i="64"/>
  <c r="T11" i="64"/>
  <c r="T10" i="64"/>
  <c r="T9" i="64"/>
  <c r="T8" i="64"/>
  <c r="T7" i="64"/>
  <c r="T6" i="64"/>
  <c r="T5" i="64"/>
  <c r="Z6" i="64" l="1"/>
  <c r="Z8" i="64"/>
  <c r="Z10" i="64"/>
  <c r="Z12" i="64"/>
  <c r="R14" i="64"/>
  <c r="V4" i="64" s="1"/>
  <c r="Z5" i="64"/>
  <c r="Z7" i="64"/>
  <c r="Z9" i="64"/>
  <c r="Z11" i="64"/>
  <c r="Z13" i="64"/>
  <c r="S14" i="64"/>
  <c r="T14" i="64" s="1"/>
  <c r="T4" i="64"/>
  <c r="N4" i="64"/>
  <c r="N14" i="64" s="1"/>
  <c r="M4" i="64"/>
  <c r="M14" i="64" l="1"/>
  <c r="Z14" i="64"/>
  <c r="Z4" i="64"/>
  <c r="V6" i="64"/>
  <c r="V8" i="64"/>
  <c r="V5" i="64"/>
  <c r="V7" i="64"/>
  <c r="V14" i="64" l="1"/>
  <c r="Q10" i="64" l="1"/>
  <c r="Q11" i="64"/>
  <c r="Q12" i="64"/>
  <c r="Q13" i="64"/>
  <c r="Q9" i="64"/>
  <c r="O13" i="64"/>
  <c r="O12" i="64"/>
  <c r="O11" i="64"/>
  <c r="O10" i="64"/>
  <c r="O9" i="64"/>
  <c r="O7" i="64"/>
  <c r="O6" i="64"/>
  <c r="O5" i="64"/>
  <c r="O4" i="64"/>
  <c r="Q6" i="64"/>
  <c r="U5" i="64" l="1"/>
  <c r="U7" i="64"/>
  <c r="U10" i="64"/>
  <c r="U12" i="64"/>
  <c r="U4" i="64"/>
  <c r="U6" i="64"/>
  <c r="U9" i="64"/>
  <c r="U11" i="64"/>
  <c r="U13" i="64"/>
  <c r="Q4" i="64"/>
  <c r="Q7" i="64"/>
  <c r="Q5" i="64"/>
  <c r="Q8" i="64"/>
  <c r="L10" i="64"/>
  <c r="L11" i="64"/>
  <c r="L12" i="64"/>
  <c r="L13" i="64"/>
  <c r="L9" i="64"/>
  <c r="I4" i="64"/>
  <c r="AM4" i="64" s="1"/>
  <c r="H4" i="64"/>
  <c r="J13" i="64"/>
  <c r="P13" i="64" s="1"/>
  <c r="J12" i="64"/>
  <c r="P12" i="64" s="1"/>
  <c r="J11" i="64"/>
  <c r="P11" i="64" s="1"/>
  <c r="J10" i="64"/>
  <c r="P10" i="64" s="1"/>
  <c r="J9" i="64"/>
  <c r="P9" i="64" s="1"/>
  <c r="J8" i="64"/>
  <c r="J7" i="64"/>
  <c r="P7" i="64" s="1"/>
  <c r="J6" i="64"/>
  <c r="J5" i="64"/>
  <c r="P5" i="64" s="1"/>
  <c r="E13" i="64"/>
  <c r="E12" i="64"/>
  <c r="E11" i="64"/>
  <c r="E10" i="64"/>
  <c r="E9" i="64"/>
  <c r="D8" i="64"/>
  <c r="C8" i="64"/>
  <c r="G11" i="64" s="1"/>
  <c r="E7" i="64"/>
  <c r="E6" i="64"/>
  <c r="E5" i="64"/>
  <c r="D4" i="64"/>
  <c r="C4" i="64"/>
  <c r="AL4" i="64" l="1"/>
  <c r="AL14" i="64" s="1"/>
  <c r="K9" i="64"/>
  <c r="K11" i="64"/>
  <c r="K13" i="64"/>
  <c r="I14" i="64"/>
  <c r="K6" i="64"/>
  <c r="BE4" i="64"/>
  <c r="CJ4" i="64" s="1"/>
  <c r="K7" i="64"/>
  <c r="BF4" i="64"/>
  <c r="CK4" i="64" s="1"/>
  <c r="AM14" i="64"/>
  <c r="K5" i="64"/>
  <c r="G9" i="64"/>
  <c r="G12" i="64"/>
  <c r="G10" i="64"/>
  <c r="P6" i="64"/>
  <c r="C14" i="64"/>
  <c r="G4" i="64" s="1"/>
  <c r="H14" i="64"/>
  <c r="K12" i="64"/>
  <c r="K10" i="64"/>
  <c r="G13" i="64"/>
  <c r="Q14" i="64"/>
  <c r="J4" i="64"/>
  <c r="E8" i="64"/>
  <c r="K8" i="64" s="1"/>
  <c r="D14" i="64"/>
  <c r="E4" i="64"/>
  <c r="AN4" i="64" l="1"/>
  <c r="AO7" i="64"/>
  <c r="AO5" i="64"/>
  <c r="BN4" i="64"/>
  <c r="BM4" i="64"/>
  <c r="AO8" i="64"/>
  <c r="AO4" i="64"/>
  <c r="AN14" i="64"/>
  <c r="AO6" i="64"/>
  <c r="BF14" i="64"/>
  <c r="BG4" i="64"/>
  <c r="BE14" i="64"/>
  <c r="CJ14" i="64" s="1"/>
  <c r="G5" i="64"/>
  <c r="G7" i="64"/>
  <c r="G6" i="64"/>
  <c r="E14" i="64"/>
  <c r="P4" i="64"/>
  <c r="K4" i="64"/>
  <c r="L6" i="64"/>
  <c r="L8" i="64"/>
  <c r="L5" i="64"/>
  <c r="L7" i="64"/>
  <c r="L4" i="64"/>
  <c r="G8" i="64"/>
  <c r="J14" i="64"/>
  <c r="AO14" i="64" l="1"/>
  <c r="BN14" i="64"/>
  <c r="CK14" i="64"/>
  <c r="BO4" i="64"/>
  <c r="BX4" i="64"/>
  <c r="BH4" i="64"/>
  <c r="BM14" i="64"/>
  <c r="G14" i="64"/>
  <c r="BH8" i="64"/>
  <c r="BH6" i="64"/>
  <c r="BH5" i="64"/>
  <c r="BH7" i="64"/>
  <c r="BG14" i="64"/>
  <c r="K14" i="64"/>
  <c r="L14" i="64"/>
  <c r="BH14" i="64" l="1"/>
  <c r="BO14" i="64"/>
  <c r="BX14" i="64"/>
  <c r="B10" i="54" l="1"/>
  <c r="I5" i="51" l="1"/>
  <c r="I6" i="51"/>
  <c r="I7" i="51"/>
  <c r="I8" i="51"/>
  <c r="H8" i="51"/>
  <c r="G8" i="51"/>
  <c r="H7" i="51"/>
  <c r="G7" i="51"/>
  <c r="F7" i="51"/>
  <c r="E7" i="51"/>
  <c r="D7" i="51"/>
  <c r="C7" i="51"/>
  <c r="B7" i="51"/>
  <c r="H6" i="51"/>
  <c r="G6" i="51"/>
  <c r="F6" i="51"/>
  <c r="E6" i="51"/>
  <c r="D6" i="51"/>
  <c r="C6" i="51"/>
  <c r="B6" i="51"/>
  <c r="H5" i="51"/>
  <c r="G5" i="51"/>
  <c r="F5" i="51"/>
  <c r="E5" i="51"/>
  <c r="D5" i="51"/>
  <c r="C5" i="51"/>
  <c r="B5" i="51"/>
  <c r="H4" i="51"/>
  <c r="G4" i="51"/>
  <c r="F4" i="51"/>
  <c r="E4" i="51"/>
  <c r="D4" i="51"/>
  <c r="C4" i="51"/>
  <c r="B4" i="51"/>
  <c r="G9" i="51" l="1"/>
  <c r="H9" i="51"/>
  <c r="J5" i="51"/>
  <c r="L5" i="51"/>
  <c r="K6" i="51"/>
  <c r="O6" i="51"/>
  <c r="Q6" i="51"/>
  <c r="T7" i="51"/>
  <c r="T5" i="51"/>
  <c r="J7" i="51"/>
  <c r="L7" i="51"/>
  <c r="O7" i="51"/>
  <c r="Q8" i="51"/>
  <c r="T6" i="51"/>
  <c r="K5" i="51"/>
  <c r="O5" i="51"/>
  <c r="Q5" i="51"/>
  <c r="J6" i="51"/>
  <c r="L6" i="51"/>
  <c r="P6" i="51"/>
  <c r="K7" i="51"/>
  <c r="M7" i="51"/>
  <c r="Q7" i="51"/>
  <c r="S8" i="51"/>
  <c r="S6" i="51"/>
  <c r="P5" i="51"/>
  <c r="S7" i="51"/>
  <c r="S5" i="51"/>
  <c r="K4" i="51"/>
  <c r="J4" i="51"/>
  <c r="L4" i="51"/>
  <c r="N4" i="51"/>
  <c r="P4" i="51"/>
  <c r="R4" i="51"/>
  <c r="N5" i="51"/>
  <c r="R5" i="51"/>
  <c r="N6" i="51"/>
  <c r="R6" i="51"/>
  <c r="N7" i="51"/>
  <c r="P7" i="51"/>
  <c r="R7" i="51"/>
  <c r="M4" i="51"/>
  <c r="O4" i="51"/>
  <c r="Q4" i="51"/>
  <c r="M5" i="51"/>
  <c r="M6" i="51"/>
  <c r="H5" i="46"/>
  <c r="H6" i="46"/>
  <c r="H7" i="46"/>
  <c r="H8" i="46"/>
  <c r="H4" i="46"/>
  <c r="G5" i="46"/>
  <c r="G6" i="46"/>
  <c r="G7" i="46"/>
  <c r="G8" i="46"/>
  <c r="G4" i="46"/>
  <c r="F7" i="46"/>
  <c r="E7" i="46"/>
  <c r="D7" i="46"/>
  <c r="C7" i="46"/>
  <c r="B7" i="46"/>
  <c r="F6" i="46"/>
  <c r="E6" i="46"/>
  <c r="D6" i="46"/>
  <c r="C6" i="46"/>
  <c r="B6" i="46"/>
  <c r="F5" i="46"/>
  <c r="E5" i="46"/>
  <c r="D5" i="46"/>
  <c r="C5" i="46"/>
  <c r="B5" i="46"/>
  <c r="F4" i="46"/>
  <c r="E4" i="46"/>
  <c r="D4" i="46"/>
  <c r="C4" i="46"/>
  <c r="B4" i="46"/>
  <c r="F16" i="43"/>
  <c r="F15" i="43"/>
  <c r="F14" i="43"/>
  <c r="F13" i="43"/>
  <c r="F12" i="43"/>
  <c r="E16" i="43"/>
  <c r="E15" i="43"/>
  <c r="E14" i="43"/>
  <c r="E13" i="43"/>
  <c r="E12" i="43"/>
  <c r="D16" i="43"/>
  <c r="D15" i="43"/>
  <c r="D14" i="43"/>
  <c r="D13" i="43"/>
  <c r="C16" i="43"/>
  <c r="C15" i="43"/>
  <c r="C14" i="43"/>
  <c r="C13" i="43"/>
  <c r="B16" i="43"/>
  <c r="B15" i="43"/>
  <c r="B14" i="43"/>
  <c r="B13" i="43"/>
  <c r="B12" i="43"/>
  <c r="F7" i="43"/>
  <c r="E7" i="43"/>
  <c r="D7" i="43"/>
  <c r="C7" i="43"/>
  <c r="B7" i="43"/>
  <c r="F6" i="43"/>
  <c r="E6" i="43"/>
  <c r="D6" i="43"/>
  <c r="C6" i="43"/>
  <c r="B6" i="43"/>
  <c r="F5" i="43"/>
  <c r="E5" i="43"/>
  <c r="D5" i="43"/>
  <c r="C5" i="43"/>
  <c r="B5" i="43"/>
  <c r="F4" i="43"/>
  <c r="E4" i="43"/>
  <c r="D4" i="43"/>
  <c r="C4" i="43"/>
  <c r="B4" i="43"/>
  <c r="G13" i="43" l="1"/>
  <c r="G15" i="43"/>
  <c r="Q9" i="51"/>
  <c r="I6" i="42"/>
  <c r="G14" i="43"/>
  <c r="G16" i="43"/>
  <c r="C8" i="51"/>
  <c r="D8" i="51"/>
  <c r="F8" i="51"/>
  <c r="G5" i="42"/>
  <c r="E8" i="51"/>
  <c r="H5" i="42"/>
  <c r="I4" i="51"/>
  <c r="L4" i="43"/>
  <c r="G5" i="43"/>
  <c r="H5" i="43" s="1"/>
  <c r="G7" i="43"/>
  <c r="H7" i="43" s="1"/>
  <c r="R4" i="46"/>
  <c r="R7" i="46"/>
  <c r="R5" i="46"/>
  <c r="H9" i="46"/>
  <c r="Q4" i="46"/>
  <c r="Q8" i="46"/>
  <c r="Q6" i="46"/>
  <c r="R6" i="46"/>
  <c r="Q7" i="46"/>
  <c r="Q5" i="46"/>
  <c r="C8" i="46"/>
  <c r="C9" i="46" s="1"/>
  <c r="E8" i="46"/>
  <c r="E9" i="46" s="1"/>
  <c r="P4" i="46"/>
  <c r="P5" i="46"/>
  <c r="D8" i="46"/>
  <c r="F8" i="46"/>
  <c r="O8" i="46" s="1"/>
  <c r="P6" i="46"/>
  <c r="J5" i="46"/>
  <c r="K6" i="46"/>
  <c r="J7" i="46"/>
  <c r="L7" i="46"/>
  <c r="O4" i="46"/>
  <c r="O6" i="46"/>
  <c r="P7" i="46"/>
  <c r="O5" i="46"/>
  <c r="G9" i="46"/>
  <c r="O7" i="46"/>
  <c r="N4" i="46"/>
  <c r="L5" i="46"/>
  <c r="N6" i="46"/>
  <c r="K5" i="46"/>
  <c r="N5" i="46"/>
  <c r="J6" i="46"/>
  <c r="L6" i="46"/>
  <c r="K7" i="46"/>
  <c r="N7" i="46"/>
  <c r="K4" i="46"/>
  <c r="M4" i="46"/>
  <c r="M5" i="46"/>
  <c r="M6" i="46"/>
  <c r="M7" i="46"/>
  <c r="J4" i="46"/>
  <c r="L4" i="46"/>
  <c r="C8" i="43"/>
  <c r="C9" i="43" s="1"/>
  <c r="E8" i="43"/>
  <c r="E9" i="43" s="1"/>
  <c r="D8" i="43"/>
  <c r="F8" i="43"/>
  <c r="G6" i="43"/>
  <c r="J7" i="43"/>
  <c r="L7" i="43"/>
  <c r="J6" i="43"/>
  <c r="L6" i="43"/>
  <c r="G4" i="43"/>
  <c r="J5" i="43"/>
  <c r="L5" i="43"/>
  <c r="I6" i="43"/>
  <c r="K6" i="43"/>
  <c r="J4" i="43"/>
  <c r="I5" i="43"/>
  <c r="K5" i="43"/>
  <c r="I7" i="43"/>
  <c r="K7" i="43"/>
  <c r="F17" i="43"/>
  <c r="E17" i="43"/>
  <c r="B17" i="43"/>
  <c r="I4" i="43"/>
  <c r="K4" i="43"/>
  <c r="H6" i="43" l="1"/>
  <c r="K8" i="46"/>
  <c r="D9" i="46"/>
  <c r="L9" i="46" s="1"/>
  <c r="C5" i="42"/>
  <c r="F9" i="46"/>
  <c r="O9" i="46" s="1"/>
  <c r="L8" i="43"/>
  <c r="F9" i="43"/>
  <c r="L9" i="43" s="1"/>
  <c r="J8" i="43"/>
  <c r="F4" i="42"/>
  <c r="M8" i="46"/>
  <c r="L8" i="46"/>
  <c r="Q9" i="46"/>
  <c r="G7" i="42"/>
  <c r="G8" i="42"/>
  <c r="H7" i="42"/>
  <c r="I7" i="42"/>
  <c r="I9" i="51"/>
  <c r="S9" i="51" s="1"/>
  <c r="S4" i="51"/>
  <c r="T4" i="51"/>
  <c r="L8" i="51"/>
  <c r="E9" i="51"/>
  <c r="E5" i="42"/>
  <c r="K8" i="51"/>
  <c r="D9" i="51"/>
  <c r="D5" i="42"/>
  <c r="B8" i="51"/>
  <c r="J8" i="51" s="1"/>
  <c r="G6" i="42"/>
  <c r="I8" i="42"/>
  <c r="I5" i="42"/>
  <c r="H6" i="42"/>
  <c r="I4" i="42"/>
  <c r="H8" i="42"/>
  <c r="F9" i="51"/>
  <c r="M8" i="51"/>
  <c r="O8" i="51"/>
  <c r="N8" i="51"/>
  <c r="F5" i="42"/>
  <c r="C9" i="51"/>
  <c r="K8" i="43"/>
  <c r="D9" i="43"/>
  <c r="G8" i="43"/>
  <c r="H8" i="43" s="1"/>
  <c r="H4" i="42"/>
  <c r="B8" i="46"/>
  <c r="R8" i="46" s="1"/>
  <c r="C7" i="42"/>
  <c r="F7" i="42"/>
  <c r="F6" i="42"/>
  <c r="E8" i="42"/>
  <c r="G4" i="42"/>
  <c r="B8" i="43"/>
  <c r="M9" i="46" l="1"/>
  <c r="K9" i="46"/>
  <c r="D4" i="42"/>
  <c r="E7" i="42"/>
  <c r="F8" i="42"/>
  <c r="C6" i="42"/>
  <c r="G9" i="43"/>
  <c r="D8" i="42"/>
  <c r="D6" i="42"/>
  <c r="E4" i="42"/>
  <c r="E6" i="42"/>
  <c r="C8" i="42"/>
  <c r="C4" i="42"/>
  <c r="K9" i="43"/>
  <c r="J9" i="43"/>
  <c r="D7" i="42"/>
  <c r="B9" i="51"/>
  <c r="P8" i="51"/>
  <c r="T8" i="51"/>
  <c r="R8" i="51"/>
  <c r="K9" i="51"/>
  <c r="L9" i="51"/>
  <c r="M9" i="51"/>
  <c r="O9" i="51"/>
  <c r="B9" i="46"/>
  <c r="R9" i="46" s="1"/>
  <c r="N8" i="46"/>
  <c r="P8" i="46"/>
  <c r="J8" i="46"/>
  <c r="B9" i="43"/>
  <c r="I9" i="43" s="1"/>
  <c r="I8" i="43"/>
  <c r="T9" i="51" l="1"/>
  <c r="R9" i="51"/>
  <c r="P9" i="51"/>
  <c r="J9" i="51"/>
  <c r="N9" i="51"/>
  <c r="B8" i="42"/>
  <c r="B7" i="42"/>
  <c r="B6" i="42"/>
  <c r="B5" i="42"/>
  <c r="J9" i="46"/>
  <c r="P9" i="46"/>
  <c r="N9" i="46"/>
  <c r="B4" i="42"/>
  <c r="C12" i="43" l="1"/>
  <c r="D12" i="43"/>
  <c r="D17" i="43" s="1"/>
  <c r="G12" i="43" l="1"/>
  <c r="H4" i="43" s="1"/>
  <c r="C17" i="43"/>
  <c r="G17" i="43" s="1"/>
  <c r="H9" i="43" s="1"/>
  <c r="O8" i="64" l="1"/>
  <c r="O14" i="64"/>
  <c r="AF9" i="64"/>
  <c r="P8" i="64" l="1"/>
  <c r="U8" i="64"/>
  <c r="P14" i="64"/>
  <c r="U14" i="64"/>
  <c r="AD9" i="64"/>
  <c r="AE9" i="64" l="1"/>
  <c r="AJ9" i="64"/>
  <c r="V9" i="86"/>
  <c r="W9" i="86" s="1"/>
  <c r="Z9" i="86"/>
  <c r="U21" i="86"/>
  <c r="U7" i="86"/>
  <c r="V7" i="86" s="1"/>
  <c r="W7" i="86" s="1"/>
  <c r="CU9" i="86" l="1"/>
  <c r="CU7" i="86" s="1"/>
  <c r="CU21" i="86" s="1"/>
  <c r="AW9" i="86"/>
  <c r="V21" i="86"/>
  <c r="W21" i="86" s="1"/>
  <c r="U22" i="86"/>
  <c r="Z7" i="86"/>
  <c r="AW7" i="86" s="1"/>
  <c r="CU22" i="86" l="1"/>
  <c r="Z21" i="86"/>
  <c r="Z22" i="86" s="1"/>
  <c r="AW21" i="86" l="1"/>
  <c r="AW22" i="86" l="1"/>
  <c r="C6" i="54"/>
  <c r="C10" i="54" s="1"/>
  <c r="Y9" i="86"/>
  <c r="AV9" i="86" s="1"/>
  <c r="L9" i="86"/>
  <c r="R9" i="86" s="1"/>
  <c r="J7" i="86"/>
  <c r="J21" i="86" s="1"/>
  <c r="AX9" i="86" l="1"/>
  <c r="Y7" i="86"/>
  <c r="N7" i="86"/>
  <c r="M9" i="86"/>
  <c r="AA9" i="86"/>
  <c r="AF9" i="86" s="1"/>
  <c r="CT9" i="86"/>
  <c r="L7" i="86"/>
  <c r="CV9" i="86" l="1"/>
  <c r="CT7" i="86"/>
  <c r="R7" i="86"/>
  <c r="M7" i="86"/>
  <c r="J22" i="86"/>
  <c r="N12" i="86"/>
  <c r="L21" i="86"/>
  <c r="N9" i="86"/>
  <c r="N8" i="86"/>
  <c r="N10" i="86"/>
  <c r="N11" i="86"/>
  <c r="Y21" i="86"/>
  <c r="AV21" i="86" s="1"/>
  <c r="AA7" i="86"/>
  <c r="AF7" i="86" s="1"/>
  <c r="AV7" i="86"/>
  <c r="AZ8" i="86" l="1"/>
  <c r="AZ10" i="86"/>
  <c r="AZ12" i="86"/>
  <c r="AZ7" i="86"/>
  <c r="C5" i="53"/>
  <c r="C10" i="53" s="1"/>
  <c r="B5" i="99"/>
  <c r="C7" i="53"/>
  <c r="B7" i="99"/>
  <c r="C6" i="53"/>
  <c r="B6" i="99"/>
  <c r="C9" i="53"/>
  <c r="B9" i="99"/>
  <c r="C8" i="53"/>
  <c r="B8" i="99"/>
  <c r="AX7" i="86"/>
  <c r="AB11" i="86"/>
  <c r="AB8" i="86"/>
  <c r="Y22" i="86"/>
  <c r="AA21" i="86"/>
  <c r="AF21" i="86" s="1"/>
  <c r="AB10" i="86"/>
  <c r="AB12" i="86"/>
  <c r="AB9" i="86"/>
  <c r="E10" i="99" s="1"/>
  <c r="CT21" i="86"/>
  <c r="CX7" i="86" s="1"/>
  <c r="CV7" i="86"/>
  <c r="AB7" i="86"/>
  <c r="M21" i="86"/>
  <c r="R21" i="86"/>
  <c r="AZ9" i="86" l="1"/>
  <c r="CZ11" i="86"/>
  <c r="AX21" i="86"/>
  <c r="AZ11" i="86"/>
  <c r="AV22" i="86"/>
  <c r="CX12" i="86"/>
  <c r="CT22" i="86"/>
  <c r="CV21" i="86"/>
  <c r="CX10" i="86"/>
  <c r="CX8" i="86"/>
  <c r="CX11" i="86"/>
  <c r="CX9" i="86"/>
</calcChain>
</file>

<file path=xl/comments1.xml><?xml version="1.0" encoding="utf-8"?>
<comments xmlns="http://schemas.openxmlformats.org/spreadsheetml/2006/main">
  <authors>
    <author>Алимова Анна Петровна</author>
  </authors>
  <commentList>
    <comment ref="CZ11" authorId="0" shapeId="0">
      <text>
        <r>
          <rPr>
            <b/>
            <sz val="9"/>
            <color indexed="81"/>
            <rFont val="Tahoma"/>
            <family val="2"/>
            <charset val="204"/>
          </rPr>
          <t>Алимова Анна Петровна: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>доля населения в отнош которого примен пониж коэф 0,7 в общем обьъеме потребл сост 41,09</t>
        </r>
      </text>
    </comment>
  </commentList>
</comments>
</file>

<file path=xl/sharedStrings.xml><?xml version="1.0" encoding="utf-8"?>
<sst xmlns="http://schemas.openxmlformats.org/spreadsheetml/2006/main" count="470" uniqueCount="143">
  <si>
    <t>Группы потребителей</t>
  </si>
  <si>
    <t>Население, проживающее в городских населенных пунктах в домах, оборудованных в установленном порядке стационарными электроплитами</t>
  </si>
  <si>
    <t>Население, проживающее в сельских населенных пунктах</t>
  </si>
  <si>
    <t>Исполнители коммунальных услуг</t>
  </si>
  <si>
    <t>Садоводческие, огороднические или дачные некоммерческие объединения граждан</t>
  </si>
  <si>
    <t>Религиозные организации</t>
  </si>
  <si>
    <t>Некоммерческие объединения граждан  (гаражно-строительные, гаражные кооперативы)</t>
  </si>
  <si>
    <t>Итого</t>
  </si>
  <si>
    <t>Группы 
потребителей</t>
  </si>
  <si>
    <t>Население, осуществляющее оплату по зонным тарифам (ночь)-(полупик (день) *</t>
  </si>
  <si>
    <t>Приложение № 3</t>
  </si>
  <si>
    <t>Приложение № 4</t>
  </si>
  <si>
    <t>Бюджетные организации (в т.ч. проживание военнослужащих, содержание осужденных и т.п.)</t>
  </si>
  <si>
    <t xml:space="preserve">Население, осуществляющее оплату по зонным тарифам (ночь)-(полупик (день) </t>
  </si>
  <si>
    <t>Главный специалист отдела контроля и регулирования тарифов (цен) в сфере электроэнергетики и газоснабжения службы по тарифам Астраханской области</t>
  </si>
  <si>
    <t>С.А. Мулакаева</t>
  </si>
  <si>
    <t>* регулируемая цена по данной группе является средневзвешанной расчетной величиной, зависит от изменения объемов потребления электроэнергии в зависимости от зоны суток.</t>
  </si>
  <si>
    <t>Регулируемая цена электрической энергии, руб.кВтч. (с НДС)</t>
  </si>
  <si>
    <r>
      <rPr>
        <b/>
        <sz val="12"/>
        <rFont val="Times New Roman"/>
        <family val="1"/>
        <charset val="204"/>
      </rPr>
      <t>Стоимость</t>
    </r>
    <r>
      <rPr>
        <sz val="12"/>
        <rFont val="Times New Roman"/>
        <family val="1"/>
        <charset val="204"/>
      </rPr>
      <t xml:space="preserve"> электрической энергии, тыс.руб. (без НДС)</t>
    </r>
  </si>
  <si>
    <r>
      <rPr>
        <b/>
        <sz val="12"/>
        <rFont val="Times New Roman"/>
        <family val="1"/>
        <charset val="204"/>
      </rPr>
      <t>Объем</t>
    </r>
    <r>
      <rPr>
        <sz val="12"/>
        <rFont val="Times New Roman"/>
        <family val="1"/>
        <charset val="204"/>
      </rPr>
      <t xml:space="preserve"> электрической энергии, тыс.кВтч.</t>
    </r>
  </si>
  <si>
    <t xml:space="preserve">Потребители, приравненные к населению </t>
  </si>
  <si>
    <t>Население, проживающее в городских населенных пунктах в домах с газовыми плитами</t>
  </si>
  <si>
    <t xml:space="preserve">Потребители, приравненные к населению, всего, в т.ч. : </t>
  </si>
  <si>
    <t>сумма строк 100 столбцы 9+11</t>
  </si>
  <si>
    <t>Строка 200, из 46-ээ берем из столбца 6 и 8</t>
  </si>
  <si>
    <t>Строка 230, из 46-ээ берем из столбца 6 и 8</t>
  </si>
  <si>
    <t>с 01.01.2015 должно равняться строке справочно: всего по населению и приравненным к нему категориям</t>
  </si>
  <si>
    <t>Удельный вес объма электрической энергии, в общем итоге, в %</t>
  </si>
  <si>
    <t>Темп роста январь 2015 к декабрю 2014 года</t>
  </si>
  <si>
    <t>Темп роста февраль 2015 к январю 2015 года</t>
  </si>
  <si>
    <t>Темп роста март 2015 к февралю 2015 года</t>
  </si>
  <si>
    <t>Темп роста апрель 2015 к марту 2015 года</t>
  </si>
  <si>
    <t>4 мес. 2015</t>
  </si>
  <si>
    <t>Темп роста 4 мес. 2015 к 4 мес. 2014</t>
  </si>
  <si>
    <t>4 мес. 2014</t>
  </si>
  <si>
    <t>Темп роста апрель 2015 к декабрю 2014 года</t>
  </si>
  <si>
    <t>Объем электрической энергии по месяцам за период декабрь 2014 года, январь-апрель 2015 года по группам населения (тыс. кВтч.)</t>
  </si>
  <si>
    <t>Темп роста май 2015 к апрелю 2015 года</t>
  </si>
  <si>
    <t>Темп роста май 2015 к декабрю 2014 года</t>
  </si>
  <si>
    <t>Темп роста июнь 2015 к маю 2015 года</t>
  </si>
  <si>
    <t>Темп роста июнь 2015 к декабрю 2014 года</t>
  </si>
  <si>
    <t>Объем электрической энергии по месяцам декабрь 2014 года, январь-июнь2015 года по группам населения (тыс. кВтч.)</t>
  </si>
  <si>
    <t>Динамика структуры потребления электрической энергии населением на территории Астраханской области за декабрь 2014 года, январь-июль 2015 года, (%)</t>
  </si>
  <si>
    <t>Темп роста июль 2015 к июню 2015 года</t>
  </si>
  <si>
    <t>Темп роста июль 2015 к декабрю 2014 года</t>
  </si>
  <si>
    <t>Удельный вес в общем объеме, %</t>
  </si>
  <si>
    <t>Темп роста  тарифа электроэнергии к пред. месяцу 2015, %</t>
  </si>
  <si>
    <t>9 месяцев 2015 года</t>
  </si>
  <si>
    <t>декабрь 2015 года</t>
  </si>
  <si>
    <t>январь 2016 года</t>
  </si>
  <si>
    <t>февраль 2016 года</t>
  </si>
  <si>
    <t>Темп роста  тарифа электроэнергии к пред. месяцу 2016, %</t>
  </si>
  <si>
    <t>март 2016 года</t>
  </si>
  <si>
    <t>апрель 2016 года</t>
  </si>
  <si>
    <t>май 2016 года</t>
  </si>
  <si>
    <t>июнь 2016 года</t>
  </si>
  <si>
    <t>6 месяцев 2016 года</t>
  </si>
  <si>
    <t>июль 2016 года</t>
  </si>
  <si>
    <t>август 2016 года</t>
  </si>
  <si>
    <t>сентябрь 2016 года</t>
  </si>
  <si>
    <t>9 месяцев 2016 года</t>
  </si>
  <si>
    <t>Объем электрической энергии, тыс.кВтч.</t>
  </si>
  <si>
    <t>Стоимость электрической энергии, тыс.руб. (без НДС)</t>
  </si>
  <si>
    <t>Темпы роста (снижения) 9 месяцев 2016 года к 9 месяцам 2015 года</t>
  </si>
  <si>
    <t>по объему электрической энергии, тыс.кВтч.</t>
  </si>
  <si>
    <t>по стоимости электрической энергии, тыс.руб. (без НДС)</t>
  </si>
  <si>
    <t>по регулируемой цене электрической энергии, руб.кВтч. (с НДС)</t>
  </si>
  <si>
    <t>октябрь 2016 года</t>
  </si>
  <si>
    <t>ноябрь 2016 года</t>
  </si>
  <si>
    <t>декабрь 2016 года</t>
  </si>
  <si>
    <t>октябрь-декабрь 2016 года</t>
  </si>
  <si>
    <t>Мониторинг уровня регулируемых цен на электроэнергию на территории Астраханской области за период декабрь 2015 г., октябрь-декабрь 2016 года</t>
  </si>
  <si>
    <t>II-ой квартал 2017 года</t>
  </si>
  <si>
    <t>№ п/п</t>
  </si>
  <si>
    <t>1.</t>
  </si>
  <si>
    <t>Население всего, в т.ч.:</t>
  </si>
  <si>
    <t>1.1.</t>
  </si>
  <si>
    <t>1.2.</t>
  </si>
  <si>
    <t>1.3.</t>
  </si>
  <si>
    <t>1.4.</t>
  </si>
  <si>
    <t>2.</t>
  </si>
  <si>
    <t>3.</t>
  </si>
  <si>
    <t>2.3.</t>
  </si>
  <si>
    <t>2.4.</t>
  </si>
  <si>
    <t>2.5.</t>
  </si>
  <si>
    <t>2.1.</t>
  </si>
  <si>
    <t>2.2.</t>
  </si>
  <si>
    <t>Итого ( сумма стр. 1,2)</t>
  </si>
  <si>
    <t>Контроль: население по стр. 100 формы № 46-ЭЭ</t>
  </si>
  <si>
    <t>Контроль: население по стр. 400 формы № 46-ЭЭ</t>
  </si>
  <si>
    <r>
      <rPr>
        <b/>
        <sz val="16"/>
        <color theme="3"/>
        <rFont val="Times New Roman"/>
        <family val="1"/>
        <charset val="204"/>
      </rPr>
      <t>Объем</t>
    </r>
    <r>
      <rPr>
        <sz val="16"/>
        <color theme="3"/>
        <rFont val="Times New Roman"/>
        <family val="1"/>
        <charset val="204"/>
      </rPr>
      <t xml:space="preserve"> электрической энергии, тыс.кВтч.</t>
    </r>
  </si>
  <si>
    <r>
      <rPr>
        <b/>
        <sz val="16"/>
        <rFont val="Times New Roman"/>
        <family val="1"/>
        <charset val="204"/>
      </rPr>
      <t>Объем</t>
    </r>
    <r>
      <rPr>
        <sz val="16"/>
        <rFont val="Times New Roman"/>
        <family val="1"/>
        <charset val="204"/>
      </rPr>
      <t xml:space="preserve"> электрической энергии, тыс.кВтч.</t>
    </r>
  </si>
  <si>
    <r>
      <rPr>
        <b/>
        <sz val="16"/>
        <rFont val="Times New Roman"/>
        <family val="1"/>
        <charset val="204"/>
      </rPr>
      <t>Стоимость</t>
    </r>
    <r>
      <rPr>
        <sz val="16"/>
        <rFont val="Times New Roman"/>
        <family val="1"/>
        <charset val="204"/>
      </rPr>
      <t xml:space="preserve"> электрической энергии, тыс.руб. (с НДС)</t>
    </r>
  </si>
  <si>
    <t>Динамика структуры потребления электрической энергии населением на территории Астраханской области за декабрь 2016 года и  2017 год</t>
  </si>
  <si>
    <t>Объем потребления электрической энергии населением Астраханской области по месяцам (декабрь 2016 года,  2017 год) по группам населения (тыс. кВтч.)</t>
  </si>
  <si>
    <t>Стоимость электрической энергии, тыс.руб. (с НДС)</t>
  </si>
  <si>
    <t>1-ое полугодие 2017 года</t>
  </si>
  <si>
    <t xml:space="preserve">Потребители, приравненные к населению, в т.ч.: </t>
  </si>
  <si>
    <t>Потребители, приравненные к населению , в т.ч.:</t>
  </si>
  <si>
    <t>Приложение № 1</t>
  </si>
  <si>
    <t>Приложение №5</t>
  </si>
  <si>
    <t>Приложение № 6</t>
  </si>
  <si>
    <t>Приложение № 7</t>
  </si>
  <si>
    <t>Темп роста  тарифа электроэнергии к пред. месяцу 2017, %</t>
  </si>
  <si>
    <t xml:space="preserve"> 2017 год</t>
  </si>
  <si>
    <t>Приложение № 2</t>
  </si>
  <si>
    <t>с 01.01.2017 должно равняться строке справочно: всего по населению и приравненным к нему категориям</t>
  </si>
  <si>
    <t>Гарантирующие поставщики,приобретающие электрическую энергию(мощность) в целях дальнейшей продажи</t>
  </si>
  <si>
    <t>Объем потребления электрической энергии населением Астраханской области по месяцам по группам населения (тыс. кВтч.)</t>
  </si>
  <si>
    <t>декабрь 2019 года</t>
  </si>
  <si>
    <t>Темп роста  тарифа электроэнергии к пред. месяцу 2019, %</t>
  </si>
  <si>
    <t>Темп роста  тарифа электроэнергии к пред. месяцу 2018, %</t>
  </si>
  <si>
    <t>Гарантирующие поставщики,энергосбытовые, энергоснабжающии организации,преобретающие электрическую энергию (мощность) в целях дальнейшей продажи</t>
  </si>
  <si>
    <t xml:space="preserve">В т.ч. ПАО "АЭСК" </t>
  </si>
  <si>
    <t>*Относится только к показателям форм 46-ээ по ООО "Русэнергосбыт"</t>
  </si>
  <si>
    <t>январь 2020 года</t>
  </si>
  <si>
    <t>Исполнители коммунальных услуг, оказывающие услугу по энергоснабжению по тарифам на электрическую энергию, утвержденные без учета применения понижающих коэффициентов</t>
  </si>
  <si>
    <t>Исполнители коммунальных услуг, оказывающие услугу по энергоснабжению по тарифам на электрическую энергию, утвержденные с учетом применения понижающих коэффициентов</t>
  </si>
  <si>
    <t>Мониторинг уровня регулируемых цен на электроэнергию на территории Астраханской области за 2020 год ( по данным форм статистической отчетности № 46-ээ гарантирующих поставщиков ПАО "АЭСК" и ООО "РУСЭНЕРГОСБЫТ" в границах их зон деятельности  на территории Астраханской области)</t>
  </si>
  <si>
    <t>февраль 2020 года</t>
  </si>
  <si>
    <t>март 2020 года</t>
  </si>
  <si>
    <t>I-ый квартал 2020 года</t>
  </si>
  <si>
    <r>
      <t xml:space="preserve">Гарантирующие поставщики,энергосбытовые,энергоснабжающие организации,приобретающие электрическую энергию(мощность) в целях дальнейшей продажи </t>
    </r>
    <r>
      <rPr>
        <sz val="18"/>
        <color theme="1"/>
        <rFont val="Times New Roman"/>
        <family val="1"/>
        <charset val="204"/>
      </rPr>
      <t>*</t>
    </r>
  </si>
  <si>
    <t>апрель 2020 года</t>
  </si>
  <si>
    <t>май 2020 года</t>
  </si>
  <si>
    <t>июнь 2020 года</t>
  </si>
  <si>
    <t>II-ой квартал 2020 года</t>
  </si>
  <si>
    <t>I-полугодие 2020 года</t>
  </si>
  <si>
    <t>июль 2020 года</t>
  </si>
  <si>
    <t>август 2020 года</t>
  </si>
  <si>
    <t>Динамика структуры потребления электрической энергии населением на территории Астраханской области за 1-ое полугодие 2020 года ( уд.вес)</t>
  </si>
  <si>
    <t>ИТОГО НАСЕЛЕНИЕ</t>
  </si>
  <si>
    <t>Потребители, приравненные к населению</t>
  </si>
  <si>
    <t>сентябрь 2020 года</t>
  </si>
  <si>
    <t>III-ий квартал 2020 года</t>
  </si>
  <si>
    <t>октябрь 2020 года</t>
  </si>
  <si>
    <t>ноябрь 2020 года</t>
  </si>
  <si>
    <t>декабрь 2020 года</t>
  </si>
  <si>
    <t>4 квартал 2020 года</t>
  </si>
  <si>
    <t>2-ое полугодие 2020 года</t>
  </si>
  <si>
    <t>Итоги 2020 года</t>
  </si>
  <si>
    <t>2020 год</t>
  </si>
  <si>
    <t>ИТОГО НАСЕЛЕНИЕ и потребители, приравненные к нему: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</si>
</sst>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1">
    <numFmt numFmtId="43" formatCode="_-* #,##0.00\ _₽_-;\-* #,##0.00\ _₽_-;_-* &quot;-&quot;??\ _₽_-;_-@_-"/>
    <numFmt numFmtId="164" formatCode="#,##0.00&quot;р.&quot;;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-* #,##0.00[$€-1]_-;\-* #,##0.00[$€-1]_-;_-* &quot;-&quot;??[$€-1]_-"/>
    <numFmt numFmtId="169" formatCode="0.0%"/>
    <numFmt numFmtId="170" formatCode="0.0%_);\(0.0%\)"/>
    <numFmt numFmtId="171" formatCode="#,##0_);[Red]\(#,##0\)"/>
    <numFmt numFmtId="172" formatCode="#,##0;\(#,##0\)"/>
    <numFmt numFmtId="173" formatCode="_-* #,##0.00\ _$_-;\-* #,##0.00\ _$_-;_-* &quot;-&quot;??\ _$_-;_-@_-"/>
    <numFmt numFmtId="174" formatCode="#.##0\.00"/>
    <numFmt numFmtId="175" formatCode="#\.00"/>
    <numFmt numFmtId="176" formatCode="\$#\.00"/>
    <numFmt numFmtId="177" formatCode="#\."/>
    <numFmt numFmtId="178" formatCode="General_)"/>
    <numFmt numFmtId="179" formatCode="_-* #,##0&quot;đ.&quot;_-;\-* #,##0&quot;đ.&quot;_-;_-* &quot;-&quot;&quot;đ.&quot;_-;_-@_-"/>
    <numFmt numFmtId="180" formatCode="_-* #,##0.00&quot;đ.&quot;_-;\-* #,##0.00&quot;đ.&quot;_-;_-* &quot;-&quot;??&quot;đ.&quot;_-;_-@_-"/>
    <numFmt numFmtId="181" formatCode="&quot;$&quot;#,##0_);[Red]\(&quot;$&quot;#,##0\)"/>
    <numFmt numFmtId="182" formatCode="\$#,##0\ ;\(\$#,##0\)"/>
    <numFmt numFmtId="183" formatCode="#,##0.000[$р.-419];\-#,##0.000[$р.-419]"/>
    <numFmt numFmtId="184" formatCode="_-* #,##0.0\ _$_-;\-* #,##0.0\ _$_-;_-* &quot;-&quot;??\ _$_-;_-@_-"/>
    <numFmt numFmtId="185" formatCode="0.0"/>
    <numFmt numFmtId="186" formatCode="#,##0.0_);\(#,##0.0\)"/>
    <numFmt numFmtId="187" formatCode="#,##0_ ;[Red]\-#,##0\ "/>
    <numFmt numFmtId="188" formatCode="#,##0_);[Blue]\(#,##0\)"/>
    <numFmt numFmtId="189" formatCode="_-* #,##0_-;\-* #,##0_-;_-* &quot;-&quot;_-;_-@_-"/>
    <numFmt numFmtId="190" formatCode="_-* #,##0.00_-;\-* #,##0.00_-;_-* &quot;-&quot;??_-;_-@_-"/>
    <numFmt numFmtId="191" formatCode="#,##0__\ \ \ \ "/>
    <numFmt numFmtId="192" formatCode="_-&quot;£&quot;* #,##0_-;\-&quot;£&quot;* #,##0_-;_-&quot;£&quot;* &quot;-&quot;_-;_-@_-"/>
    <numFmt numFmtId="193" formatCode="_-&quot;£&quot;* #,##0.00_-;\-&quot;£&quot;* #,##0.00_-;_-&quot;£&quot;* &quot;-&quot;??_-;_-@_-"/>
    <numFmt numFmtId="194" formatCode="#,##0.00&quot;т.р.&quot;;\-#,##0.00&quot;т.р.&quot;"/>
    <numFmt numFmtId="195" formatCode="#,##0.0;[Red]#,##0.0"/>
    <numFmt numFmtId="196" formatCode="_-* #,##0_đ_._-;\-* #,##0_đ_._-;_-* &quot;-&quot;_đ_._-;_-@_-"/>
    <numFmt numFmtId="197" formatCode="_-* #,##0.00_đ_._-;\-* #,##0.00_đ_._-;_-* &quot;-&quot;??_đ_._-;_-@_-"/>
    <numFmt numFmtId="198" formatCode="\(#,##0.0\)"/>
    <numFmt numFmtId="199" formatCode="#,##0\ &quot;?.&quot;;\-#,##0\ &quot;?.&quot;"/>
    <numFmt numFmtId="200" formatCode="#,##0______;;&quot;------------      &quot;"/>
    <numFmt numFmtId="201" formatCode="#,##0.000_ ;\-#,##0.000\ "/>
    <numFmt numFmtId="202" formatCode="#,##0.00_ ;[Red]\-#,##0.00\ "/>
    <numFmt numFmtId="203" formatCode="#,##0.000"/>
    <numFmt numFmtId="204" formatCode="0.000"/>
    <numFmt numFmtId="205" formatCode="_-* #,##0\ _р_._-;\-* #,##0\ _р_._-;_-* &quot;-&quot;\ _р_._-;_-@_-"/>
    <numFmt numFmtId="206" formatCode="_-* #,##0.00\ _р_._-;\-* #,##0.00\ _р_._-;_-* &quot;-&quot;??\ _р_._-;_-@_-"/>
    <numFmt numFmtId="207" formatCode="_-* #,##0\ _$_-;\-* #,##0\ _$_-;_-* &quot;-&quot;\ _$_-;_-@_-"/>
    <numFmt numFmtId="208" formatCode="#,##0.00_ ;\-#,##0.00\ "/>
    <numFmt numFmtId="209" formatCode="#,##0.0"/>
    <numFmt numFmtId="210" formatCode="%#\.00"/>
    <numFmt numFmtId="211" formatCode="_-* #,##0.000_р_._-;\-* #,##0.000_р_._-;_-* &quot;-&quot;??_р_._-;_-@_-"/>
    <numFmt numFmtId="212" formatCode="_-* #,##0.0000_р_._-;\-* #,##0.0000_р_._-;_-* &quot;-&quot;??_р_._-;_-@_-"/>
    <numFmt numFmtId="213" formatCode="0.0000"/>
  </numFmts>
  <fonts count="18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Arial Cyr"/>
    </font>
    <font>
      <sz val="10"/>
      <name val="Arial Cyr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sz val="11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indexed="64"/>
      <name val="Arial"/>
      <family val="2"/>
      <charset val="204"/>
    </font>
    <font>
      <sz val="10"/>
      <name val="Times New Roman CYR"/>
      <charset val="204"/>
    </font>
    <font>
      <sz val="9"/>
      <color indexed="11"/>
      <name val="Tahoma"/>
      <family val="2"/>
      <charset val="204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color theme="3"/>
      <name val="Times New Roman"/>
      <family val="1"/>
      <charset val="204"/>
    </font>
    <font>
      <b/>
      <sz val="16"/>
      <color theme="3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sz val="10"/>
      <color theme="3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30"/>
      <color theme="1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4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6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6"/>
      <color rgb="FF0070C0"/>
      <name val="Times New Roman"/>
      <family val="1"/>
      <charset val="204"/>
    </font>
    <font>
      <sz val="16"/>
      <color theme="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6"/>
      <color rgb="FF002060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992">
    <xf numFmtId="0" fontId="0" fillId="0" borderId="0"/>
    <xf numFmtId="0" fontId="2" fillId="0" borderId="0"/>
    <xf numFmtId="168" fontId="2" fillId="0" borderId="0"/>
    <xf numFmtId="0" fontId="3" fillId="0" borderId="0"/>
    <xf numFmtId="0" fontId="4" fillId="0" borderId="0"/>
    <xf numFmtId="169" fontId="5" fillId="0" borderId="0">
      <alignment vertical="top"/>
    </xf>
    <xf numFmtId="169" fontId="6" fillId="0" borderId="0">
      <alignment vertical="top"/>
    </xf>
    <xf numFmtId="170" fontId="6" fillId="2" borderId="0">
      <alignment vertical="top"/>
    </xf>
    <xf numFmtId="169" fontId="6" fillId="3" borderId="0">
      <alignment vertical="top"/>
    </xf>
    <xf numFmtId="40" fontId="7" fillId="0" borderId="0" applyFont="0" applyFill="0" applyBorder="0" applyAlignment="0" applyProtection="0"/>
    <xf numFmtId="0" fontId="8" fillId="0" borderId="0"/>
    <xf numFmtId="0" fontId="3" fillId="0" borderId="0"/>
    <xf numFmtId="171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171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172" fontId="4" fillId="4" borderId="1">
      <alignment wrapText="1"/>
      <protection locked="0"/>
    </xf>
    <xf numFmtId="0" fontId="2" fillId="0" borderId="0"/>
    <xf numFmtId="0" fontId="3" fillId="0" borderId="0"/>
    <xf numFmtId="168" fontId="3" fillId="0" borderId="0"/>
    <xf numFmtId="0" fontId="3" fillId="0" borderId="0"/>
    <xf numFmtId="168" fontId="3" fillId="0" borderId="0"/>
    <xf numFmtId="0" fontId="3" fillId="0" borderId="0"/>
    <xf numFmtId="168" fontId="3" fillId="0" borderId="0"/>
    <xf numFmtId="0" fontId="3" fillId="0" borderId="0"/>
    <xf numFmtId="168" fontId="3" fillId="0" borderId="0"/>
    <xf numFmtId="0" fontId="9" fillId="0" borderId="0"/>
    <xf numFmtId="0" fontId="2" fillId="0" borderId="0"/>
    <xf numFmtId="168" fontId="2" fillId="0" borderId="0"/>
    <xf numFmtId="0" fontId="2" fillId="0" borderId="0"/>
    <xf numFmtId="171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0" fontId="2" fillId="0" borderId="0"/>
    <xf numFmtId="168" fontId="2" fillId="0" borderId="0"/>
    <xf numFmtId="0" fontId="2" fillId="0" borderId="0"/>
    <xf numFmtId="168" fontId="2" fillId="0" borderId="0"/>
    <xf numFmtId="0" fontId="3" fillId="0" borderId="0"/>
    <xf numFmtId="168" fontId="3" fillId="0" borderId="0"/>
    <xf numFmtId="0" fontId="3" fillId="0" borderId="0"/>
    <xf numFmtId="168" fontId="3" fillId="0" borderId="0"/>
    <xf numFmtId="171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0" fontId="3" fillId="0" borderId="0"/>
    <xf numFmtId="168" fontId="3" fillId="0" borderId="0"/>
    <xf numFmtId="0" fontId="3" fillId="0" borderId="0"/>
    <xf numFmtId="0" fontId="3" fillId="0" borderId="0"/>
    <xf numFmtId="168" fontId="3" fillId="0" borderId="0"/>
    <xf numFmtId="0" fontId="3" fillId="0" borderId="0"/>
    <xf numFmtId="168" fontId="3" fillId="0" borderId="0"/>
    <xf numFmtId="171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171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0" fontId="3" fillId="0" borderId="0"/>
    <xf numFmtId="168" fontId="3" fillId="0" borderId="0"/>
    <xf numFmtId="0" fontId="3" fillId="0" borderId="0"/>
    <xf numFmtId="0" fontId="2" fillId="0" borderId="0"/>
    <xf numFmtId="168" fontId="2" fillId="0" borderId="0"/>
    <xf numFmtId="0" fontId="2" fillId="0" borderId="0"/>
    <xf numFmtId="168" fontId="2" fillId="0" borderId="0"/>
    <xf numFmtId="0" fontId="3" fillId="0" borderId="0"/>
    <xf numFmtId="168" fontId="3" fillId="0" borderId="0"/>
    <xf numFmtId="0" fontId="2" fillId="0" borderId="0"/>
    <xf numFmtId="168" fontId="2" fillId="0" borderId="0"/>
    <xf numFmtId="0" fontId="2" fillId="0" borderId="0"/>
    <xf numFmtId="168" fontId="2" fillId="0" borderId="0"/>
    <xf numFmtId="0" fontId="10" fillId="0" borderId="0"/>
    <xf numFmtId="0" fontId="3" fillId="0" borderId="0"/>
    <xf numFmtId="168" fontId="3" fillId="0" borderId="0"/>
    <xf numFmtId="173" fontId="10" fillId="0" borderId="0" applyFont="0" applyFill="0" applyBorder="0" applyAlignment="0" applyProtection="0"/>
    <xf numFmtId="174" fontId="11" fillId="0" borderId="0">
      <protection locked="0"/>
    </xf>
    <xf numFmtId="175" fontId="11" fillId="0" borderId="0">
      <protection locked="0"/>
    </xf>
    <xf numFmtId="174" fontId="11" fillId="0" borderId="0">
      <protection locked="0"/>
    </xf>
    <xf numFmtId="175" fontId="11" fillId="0" borderId="0">
      <protection locked="0"/>
    </xf>
    <xf numFmtId="176" fontId="11" fillId="0" borderId="0">
      <protection locked="0"/>
    </xf>
    <xf numFmtId="177" fontId="11" fillId="0" borderId="2">
      <protection locked="0"/>
    </xf>
    <xf numFmtId="177" fontId="12" fillId="0" borderId="0">
      <protection locked="0"/>
    </xf>
    <xf numFmtId="177" fontId="12" fillId="0" borderId="0">
      <protection locked="0"/>
    </xf>
    <xf numFmtId="177" fontId="11" fillId="0" borderId="2">
      <protection locked="0"/>
    </xf>
    <xf numFmtId="0" fontId="13" fillId="5" borderId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23" borderId="0" applyNumberFormat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/>
    <xf numFmtId="178" fontId="17" fillId="0" borderId="3">
      <protection locked="0"/>
    </xf>
    <xf numFmtId="179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8" fillId="7" borderId="0" applyNumberFormat="0" applyBorder="0" applyAlignment="0" applyProtection="0"/>
    <xf numFmtId="10" fontId="19" fillId="0" borderId="0" applyNumberFormat="0" applyFill="0" applyBorder="0" applyAlignment="0"/>
    <xf numFmtId="0" fontId="20" fillId="0" borderId="0"/>
    <xf numFmtId="0" fontId="21" fillId="24" borderId="4" applyNumberFormat="0" applyAlignment="0" applyProtection="0"/>
    <xf numFmtId="0" fontId="22" fillId="0" borderId="4" applyNumberFormat="0" applyAlignment="0">
      <protection locked="0"/>
    </xf>
    <xf numFmtId="0" fontId="23" fillId="25" borderId="5" applyNumberFormat="0" applyAlignment="0" applyProtection="0"/>
    <xf numFmtId="0" fontId="24" fillId="0" borderId="6">
      <alignment horizontal="left" vertical="center"/>
    </xf>
    <xf numFmtId="165" fontId="4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/>
    <xf numFmtId="167" fontId="4" fillId="0" borderId="0" applyFont="0" applyFill="0" applyBorder="0" applyAlignment="0" applyProtection="0"/>
    <xf numFmtId="3" fontId="26" fillId="0" borderId="0" applyFont="0" applyFill="0" applyBorder="0" applyAlignment="0" applyProtection="0"/>
    <xf numFmtId="178" fontId="27" fillId="26" borderId="3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>
      <alignment horizontal="right"/>
    </xf>
    <xf numFmtId="166" fontId="10" fillId="0" borderId="0" applyFont="0" applyFill="0" applyBorder="0" applyAlignment="0" applyProtection="0"/>
    <xf numFmtId="182" fontId="26" fillId="0" borderId="0" applyFont="0" applyFill="0" applyBorder="0" applyAlignment="0" applyProtection="0"/>
    <xf numFmtId="0" fontId="25" fillId="0" borderId="0" applyFill="0" applyBorder="0" applyProtection="0">
      <alignment vertical="center"/>
    </xf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14" fontId="28" fillId="0" borderId="0">
      <alignment vertical="top"/>
    </xf>
    <xf numFmtId="183" fontId="10" fillId="0" borderId="0" applyFont="0" applyFill="0" applyBorder="0" applyAlignment="0" applyProtection="0"/>
    <xf numFmtId="184" fontId="10" fillId="0" borderId="0" applyFont="0" applyFill="0" applyBorder="0" applyAlignment="0" applyProtection="0"/>
    <xf numFmtId="0" fontId="25" fillId="0" borderId="7" applyNumberFormat="0" applyFont="0" applyFill="0" applyAlignment="0" applyProtection="0"/>
    <xf numFmtId="0" fontId="29" fillId="0" borderId="0" applyNumberFormat="0" applyFill="0" applyBorder="0" applyAlignment="0" applyProtection="0"/>
    <xf numFmtId="171" fontId="30" fillId="0" borderId="0">
      <alignment vertical="top"/>
    </xf>
    <xf numFmtId="38" fontId="30" fillId="0" borderId="0">
      <alignment vertical="top"/>
    </xf>
    <xf numFmtId="38" fontId="30" fillId="0" borderId="0">
      <alignment vertical="top"/>
    </xf>
    <xf numFmtId="168" fontId="28" fillId="0" borderId="0" applyFont="0" applyFill="0" applyBorder="0" applyAlignment="0" applyProtection="0"/>
    <xf numFmtId="37" fontId="4" fillId="0" borderId="0"/>
    <xf numFmtId="0" fontId="31" fillId="0" borderId="0" applyNumberFormat="0" applyFill="0" applyBorder="0" applyAlignment="0" applyProtection="0"/>
    <xf numFmtId="185" fontId="32" fillId="0" borderId="0" applyFill="0" applyBorder="0" applyAlignment="0" applyProtection="0"/>
    <xf numFmtId="185" fontId="5" fillId="0" borderId="0" applyFill="0" applyBorder="0" applyAlignment="0" applyProtection="0"/>
    <xf numFmtId="185" fontId="33" fillId="0" borderId="0" applyFill="0" applyBorder="0" applyAlignment="0" applyProtection="0"/>
    <xf numFmtId="185" fontId="34" fillId="0" borderId="0" applyFill="0" applyBorder="0" applyAlignment="0" applyProtection="0"/>
    <xf numFmtId="185" fontId="35" fillId="0" borderId="0" applyFill="0" applyBorder="0" applyAlignment="0" applyProtection="0"/>
    <xf numFmtId="185" fontId="36" fillId="0" borderId="0" applyFill="0" applyBorder="0" applyAlignment="0" applyProtection="0"/>
    <xf numFmtId="185" fontId="37" fillId="0" borderId="0" applyFill="0" applyBorder="0" applyAlignment="0" applyProtection="0"/>
    <xf numFmtId="2" fontId="26" fillId="0" borderId="0" applyFont="0" applyFill="0" applyBorder="0" applyAlignment="0" applyProtection="0"/>
    <xf numFmtId="0" fontId="38" fillId="0" borderId="0">
      <alignment vertical="center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Fill="0" applyBorder="0" applyProtection="0">
      <alignment horizontal="left"/>
    </xf>
    <xf numFmtId="0" fontId="41" fillId="8" borderId="0" applyNumberFormat="0" applyBorder="0" applyAlignment="0" applyProtection="0"/>
    <xf numFmtId="169" fontId="42" fillId="3" borderId="6" applyNumberFormat="0" applyFont="0" applyBorder="0" applyAlignment="0" applyProtection="0"/>
    <xf numFmtId="0" fontId="25" fillId="0" borderId="0" applyFont="0" applyFill="0" applyBorder="0" applyAlignment="0" applyProtection="0">
      <alignment horizontal="right"/>
    </xf>
    <xf numFmtId="186" fontId="43" fillId="3" borderId="0" applyNumberFormat="0" applyFont="0" applyAlignment="0"/>
    <xf numFmtId="0" fontId="44" fillId="0" borderId="0" applyProtection="0">
      <alignment horizontal="right"/>
    </xf>
    <xf numFmtId="0" fontId="22" fillId="24" borderId="4" applyNumberFormat="0" applyAlignment="0"/>
    <xf numFmtId="0" fontId="45" fillId="0" borderId="0">
      <alignment vertical="top"/>
    </xf>
    <xf numFmtId="0" fontId="46" fillId="0" borderId="8" applyNumberFormat="0" applyFill="0" applyAlignment="0" applyProtection="0"/>
    <xf numFmtId="0" fontId="47" fillId="0" borderId="9" applyNumberFormat="0" applyFill="0" applyAlignment="0" applyProtection="0"/>
    <xf numFmtId="0" fontId="48" fillId="0" borderId="10" applyNumberFormat="0" applyFill="0" applyAlignment="0" applyProtection="0"/>
    <xf numFmtId="0" fontId="48" fillId="0" borderId="0" applyNumberFormat="0" applyFill="0" applyBorder="0" applyAlignment="0" applyProtection="0"/>
    <xf numFmtId="2" fontId="49" fillId="27" borderId="0" applyAlignment="0">
      <alignment horizontal="right"/>
      <protection locked="0"/>
    </xf>
    <xf numFmtId="171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0" fontId="51" fillId="0" borderId="0" applyNumberFormat="0" applyFill="0" applyBorder="0" applyAlignment="0" applyProtection="0">
      <alignment vertical="top"/>
      <protection locked="0"/>
    </xf>
    <xf numFmtId="178" fontId="52" fillId="0" borderId="0"/>
    <xf numFmtId="0" fontId="4" fillId="0" borderId="0"/>
    <xf numFmtId="0" fontId="53" fillId="0" borderId="0" applyNumberFormat="0" applyFill="0" applyBorder="0" applyAlignment="0" applyProtection="0">
      <alignment vertical="top"/>
      <protection locked="0"/>
    </xf>
    <xf numFmtId="187" fontId="54" fillId="0" borderId="6">
      <alignment horizontal="center" vertical="center" wrapText="1"/>
    </xf>
    <xf numFmtId="0" fontId="55" fillId="11" borderId="4" applyNumberFormat="0" applyAlignment="0" applyProtection="0"/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171" fontId="6" fillId="0" borderId="0">
      <alignment vertical="top"/>
    </xf>
    <xf numFmtId="171" fontId="6" fillId="2" borderId="0">
      <alignment vertical="top"/>
    </xf>
    <xf numFmtId="38" fontId="6" fillId="2" borderId="0">
      <alignment vertical="top"/>
    </xf>
    <xf numFmtId="38" fontId="6" fillId="2" borderId="0">
      <alignment vertical="top"/>
    </xf>
    <xf numFmtId="38" fontId="6" fillId="0" borderId="0">
      <alignment vertical="top"/>
    </xf>
    <xf numFmtId="188" fontId="6" fillId="3" borderId="0">
      <alignment vertical="top"/>
    </xf>
    <xf numFmtId="38" fontId="6" fillId="0" borderId="0">
      <alignment vertical="top"/>
    </xf>
    <xf numFmtId="0" fontId="57" fillId="0" borderId="11" applyNumberFormat="0" applyFill="0" applyAlignment="0" applyProtection="0"/>
    <xf numFmtId="189" fontId="58" fillId="0" borderId="0" applyFont="0" applyFill="0" applyBorder="0" applyAlignment="0" applyProtection="0"/>
    <xf numFmtId="190" fontId="58" fillId="0" borderId="0" applyFont="0" applyFill="0" applyBorder="0" applyAlignment="0" applyProtection="0"/>
    <xf numFmtId="189" fontId="58" fillId="0" borderId="0" applyFont="0" applyFill="0" applyBorder="0" applyAlignment="0" applyProtection="0"/>
    <xf numFmtId="190" fontId="58" fillId="0" borderId="0" applyFont="0" applyFill="0" applyBorder="0" applyAlignment="0" applyProtection="0"/>
    <xf numFmtId="191" fontId="59" fillId="0" borderId="6">
      <alignment horizontal="right"/>
      <protection locked="0"/>
    </xf>
    <xf numFmtId="192" fontId="58" fillId="0" borderId="0" applyFont="0" applyFill="0" applyBorder="0" applyAlignment="0" applyProtection="0"/>
    <xf numFmtId="193" fontId="58" fillId="0" borderId="0" applyFont="0" applyFill="0" applyBorder="0" applyAlignment="0" applyProtection="0"/>
    <xf numFmtId="192" fontId="58" fillId="0" borderId="0" applyFont="0" applyFill="0" applyBorder="0" applyAlignment="0" applyProtection="0"/>
    <xf numFmtId="193" fontId="58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ill="0" applyBorder="0" applyProtection="0">
      <alignment vertical="center"/>
    </xf>
    <xf numFmtId="0" fontId="25" fillId="0" borderId="0" applyFont="0" applyFill="0" applyBorder="0" applyAlignment="0" applyProtection="0">
      <alignment horizontal="right"/>
    </xf>
    <xf numFmtId="3" fontId="10" fillId="0" borderId="12" applyFont="0" applyBorder="0">
      <alignment horizontal="center" vertical="center"/>
    </xf>
    <xf numFmtId="0" fontId="60" fillId="28" borderId="0" applyNumberFormat="0" applyBorder="0" applyAlignment="0" applyProtection="0"/>
    <xf numFmtId="0" fontId="13" fillId="0" borderId="13"/>
    <xf numFmtId="0" fontId="61" fillId="0" borderId="0" applyNumberFormat="0" applyFill="0" applyBorder="0" applyAlignment="0" applyProtection="0"/>
    <xf numFmtId="194" fontId="10" fillId="0" borderId="0"/>
    <xf numFmtId="0" fontId="61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>
      <alignment horizontal="right"/>
    </xf>
    <xf numFmtId="0" fontId="10" fillId="0" borderId="0"/>
    <xf numFmtId="0" fontId="63" fillId="0" borderId="0"/>
    <xf numFmtId="0" fontId="25" fillId="0" borderId="0" applyFill="0" applyBorder="0" applyProtection="0">
      <alignment vertical="center"/>
    </xf>
    <xf numFmtId="0" fontId="64" fillId="0" borderId="0"/>
    <xf numFmtId="0" fontId="4" fillId="0" borderId="0"/>
    <xf numFmtId="0" fontId="2" fillId="0" borderId="0"/>
    <xf numFmtId="0" fontId="65" fillId="29" borderId="14" applyNumberFormat="0" applyFont="0" applyAlignment="0" applyProtection="0"/>
    <xf numFmtId="195" fontId="10" fillId="0" borderId="0" applyFont="0" applyAlignment="0">
      <alignment horizontal="center"/>
    </xf>
    <xf numFmtId="196" fontId="10" fillId="0" borderId="0" applyFont="0" applyFill="0" applyBorder="0" applyAlignment="0" applyProtection="0"/>
    <xf numFmtId="197" fontId="10" fillId="0" borderId="0" applyFont="0" applyFill="0" applyBorder="0" applyAlignment="0" applyProtection="0"/>
    <xf numFmtId="0" fontId="42" fillId="0" borderId="0"/>
    <xf numFmtId="198" fontId="42" fillId="0" borderId="0" applyFont="0" applyFill="0" applyBorder="0" applyAlignment="0" applyProtection="0"/>
    <xf numFmtId="199" fontId="42" fillId="0" borderId="0" applyFont="0" applyFill="0" applyBorder="0" applyAlignment="0" applyProtection="0"/>
    <xf numFmtId="0" fontId="66" fillId="24" borderId="15" applyNumberFormat="0" applyAlignment="0" applyProtection="0"/>
    <xf numFmtId="1" fontId="67" fillId="0" borderId="0" applyProtection="0">
      <alignment horizontal="right" vertical="center"/>
    </xf>
    <xf numFmtId="49" fontId="68" fillId="0" borderId="16" applyFill="0" applyProtection="0">
      <alignment vertical="center"/>
    </xf>
    <xf numFmtId="9" fontId="4" fillId="0" borderId="0" applyFont="0" applyFill="0" applyBorder="0" applyAlignment="0" applyProtection="0"/>
    <xf numFmtId="0" fontId="25" fillId="0" borderId="0" applyFill="0" applyBorder="0" applyProtection="0">
      <alignment vertical="center"/>
    </xf>
    <xf numFmtId="37" fontId="69" fillId="4" borderId="17"/>
    <xf numFmtId="37" fontId="69" fillId="4" borderId="17"/>
    <xf numFmtId="0" fontId="70" fillId="0" borderId="0" applyNumberFormat="0">
      <alignment horizontal="left"/>
    </xf>
    <xf numFmtId="200" fontId="71" fillId="0" borderId="18" applyBorder="0">
      <alignment horizontal="right"/>
      <protection locked="0"/>
    </xf>
    <xf numFmtId="49" fontId="72" fillId="0" borderId="6" applyNumberFormat="0">
      <alignment horizontal="left" vertical="center"/>
    </xf>
    <xf numFmtId="0" fontId="73" fillId="0" borderId="19">
      <alignment vertical="center"/>
    </xf>
    <xf numFmtId="4" fontId="74" fillId="4" borderId="15" applyNumberFormat="0" applyProtection="0">
      <alignment vertical="center"/>
    </xf>
    <xf numFmtId="4" fontId="75" fillId="4" borderId="15" applyNumberFormat="0" applyProtection="0">
      <alignment vertical="center"/>
    </xf>
    <xf numFmtId="4" fontId="74" fillId="4" borderId="15" applyNumberFormat="0" applyProtection="0">
      <alignment horizontal="left" vertical="center" indent="1"/>
    </xf>
    <xf numFmtId="4" fontId="74" fillId="4" borderId="15" applyNumberFormat="0" applyProtection="0">
      <alignment horizontal="left" vertical="center" indent="1"/>
    </xf>
    <xf numFmtId="0" fontId="4" fillId="30" borderId="15" applyNumberFormat="0" applyProtection="0">
      <alignment horizontal="left" vertical="center" indent="1"/>
    </xf>
    <xf numFmtId="4" fontId="74" fillId="31" borderId="15" applyNumberFormat="0" applyProtection="0">
      <alignment horizontal="right" vertical="center"/>
    </xf>
    <xf numFmtId="4" fontId="74" fillId="32" borderId="15" applyNumberFormat="0" applyProtection="0">
      <alignment horizontal="right" vertical="center"/>
    </xf>
    <xf numFmtId="4" fontId="74" fillId="33" borderId="15" applyNumberFormat="0" applyProtection="0">
      <alignment horizontal="right" vertical="center"/>
    </xf>
    <xf numFmtId="4" fontId="74" fillId="34" borderId="15" applyNumberFormat="0" applyProtection="0">
      <alignment horizontal="right" vertical="center"/>
    </xf>
    <xf numFmtId="4" fontId="74" fillId="35" borderId="15" applyNumberFormat="0" applyProtection="0">
      <alignment horizontal="right" vertical="center"/>
    </xf>
    <xf numFmtId="4" fontId="74" fillId="36" borderId="15" applyNumberFormat="0" applyProtection="0">
      <alignment horizontal="right" vertical="center"/>
    </xf>
    <xf numFmtId="4" fontId="74" fillId="37" borderId="15" applyNumberFormat="0" applyProtection="0">
      <alignment horizontal="right" vertical="center"/>
    </xf>
    <xf numFmtId="4" fontId="74" fillId="38" borderId="15" applyNumberFormat="0" applyProtection="0">
      <alignment horizontal="right" vertical="center"/>
    </xf>
    <xf numFmtId="4" fontId="74" fillId="39" borderId="15" applyNumberFormat="0" applyProtection="0">
      <alignment horizontal="right" vertical="center"/>
    </xf>
    <xf numFmtId="4" fontId="76" fillId="40" borderId="15" applyNumberFormat="0" applyProtection="0">
      <alignment horizontal="left" vertical="center" indent="1"/>
    </xf>
    <xf numFmtId="4" fontId="74" fillId="41" borderId="20" applyNumberFormat="0" applyProtection="0">
      <alignment horizontal="left" vertical="center" indent="1"/>
    </xf>
    <xf numFmtId="4" fontId="77" fillId="42" borderId="0" applyNumberFormat="0" applyProtection="0">
      <alignment horizontal="left" vertical="center" indent="1"/>
    </xf>
    <xf numFmtId="0" fontId="4" fillId="30" borderId="15" applyNumberFormat="0" applyProtection="0">
      <alignment horizontal="left" vertical="center" indent="1"/>
    </xf>
    <xf numFmtId="4" fontId="78" fillId="41" borderId="15" applyNumberFormat="0" applyProtection="0">
      <alignment horizontal="left" vertical="center" indent="1"/>
    </xf>
    <xf numFmtId="4" fontId="78" fillId="43" borderId="15" applyNumberFormat="0" applyProtection="0">
      <alignment horizontal="left" vertical="center" indent="1"/>
    </xf>
    <xf numFmtId="0" fontId="4" fillId="43" borderId="15" applyNumberFormat="0" applyProtection="0">
      <alignment horizontal="left" vertical="center" indent="1"/>
    </xf>
    <xf numFmtId="0" fontId="4" fillId="43" borderId="15" applyNumberFormat="0" applyProtection="0">
      <alignment horizontal="left" vertical="center" indent="1"/>
    </xf>
    <xf numFmtId="0" fontId="4" fillId="44" borderId="15" applyNumberFormat="0" applyProtection="0">
      <alignment horizontal="left" vertical="center" indent="1"/>
    </xf>
    <xf numFmtId="0" fontId="4" fillId="44" borderId="15" applyNumberFormat="0" applyProtection="0">
      <alignment horizontal="left" vertical="center" indent="1"/>
    </xf>
    <xf numFmtId="0" fontId="4" fillId="2" borderId="15" applyNumberFormat="0" applyProtection="0">
      <alignment horizontal="left" vertical="center" indent="1"/>
    </xf>
    <xf numFmtId="0" fontId="4" fillId="2" borderId="15" applyNumberFormat="0" applyProtection="0">
      <alignment horizontal="left" vertical="center" indent="1"/>
    </xf>
    <xf numFmtId="0" fontId="4" fillId="30" borderId="15" applyNumberFormat="0" applyProtection="0">
      <alignment horizontal="left" vertical="center" indent="1"/>
    </xf>
    <xf numFmtId="0" fontId="4" fillId="30" borderId="15" applyNumberFormat="0" applyProtection="0">
      <alignment horizontal="left" vertical="center" indent="1"/>
    </xf>
    <xf numFmtId="0" fontId="10" fillId="0" borderId="0"/>
    <xf numFmtId="4" fontId="74" fillId="45" borderId="15" applyNumberFormat="0" applyProtection="0">
      <alignment vertical="center"/>
    </xf>
    <xf numFmtId="4" fontId="75" fillId="45" borderId="15" applyNumberFormat="0" applyProtection="0">
      <alignment vertical="center"/>
    </xf>
    <xf numFmtId="4" fontId="74" fillId="45" borderId="15" applyNumberFormat="0" applyProtection="0">
      <alignment horizontal="left" vertical="center" indent="1"/>
    </xf>
    <xf numFmtId="4" fontId="74" fillId="45" borderId="15" applyNumberFormat="0" applyProtection="0">
      <alignment horizontal="left" vertical="center" indent="1"/>
    </xf>
    <xf numFmtId="4" fontId="74" fillId="41" borderId="15" applyNumberFormat="0" applyProtection="0">
      <alignment horizontal="right" vertical="center"/>
    </xf>
    <xf numFmtId="4" fontId="75" fillId="41" borderId="15" applyNumberFormat="0" applyProtection="0">
      <alignment horizontal="right" vertical="center"/>
    </xf>
    <xf numFmtId="0" fontId="4" fillId="30" borderId="15" applyNumberFormat="0" applyProtection="0">
      <alignment horizontal="left" vertical="center" indent="1"/>
    </xf>
    <xf numFmtId="0" fontId="4" fillId="30" borderId="15" applyNumberFormat="0" applyProtection="0">
      <alignment horizontal="left" vertical="center" indent="1"/>
    </xf>
    <xf numFmtId="0" fontId="79" fillId="0" borderId="0"/>
    <xf numFmtId="4" fontId="80" fillId="41" borderId="15" applyNumberFormat="0" applyProtection="0">
      <alignment horizontal="right" vertical="center"/>
    </xf>
    <xf numFmtId="0" fontId="81" fillId="0" borderId="0">
      <alignment horizontal="left" vertical="center" wrapText="1"/>
    </xf>
    <xf numFmtId="0" fontId="4" fillId="0" borderId="0"/>
    <xf numFmtId="0" fontId="2" fillId="0" borderId="0"/>
    <xf numFmtId="0" fontId="82" fillId="0" borderId="0" applyBorder="0" applyProtection="0">
      <alignment vertical="center"/>
    </xf>
    <xf numFmtId="0" fontId="82" fillId="0" borderId="16" applyBorder="0" applyProtection="0">
      <alignment horizontal="right" vertical="center"/>
    </xf>
    <xf numFmtId="0" fontId="83" fillId="46" borderId="0" applyBorder="0" applyProtection="0">
      <alignment horizontal="centerContinuous" vertical="center"/>
    </xf>
    <xf numFmtId="0" fontId="83" fillId="47" borderId="16" applyBorder="0" applyProtection="0">
      <alignment horizontal="centerContinuous" vertical="center"/>
    </xf>
    <xf numFmtId="0" fontId="84" fillId="0" borderId="0"/>
    <xf numFmtId="171" fontId="85" fillId="48" borderId="0">
      <alignment horizontal="right" vertical="top"/>
    </xf>
    <xf numFmtId="38" fontId="85" fillId="48" borderId="0">
      <alignment horizontal="right" vertical="top"/>
    </xf>
    <xf numFmtId="38" fontId="85" fillId="48" borderId="0">
      <alignment horizontal="right" vertical="top"/>
    </xf>
    <xf numFmtId="0" fontId="64" fillId="0" borderId="0"/>
    <xf numFmtId="0" fontId="86" fillId="0" borderId="0" applyFill="0" applyBorder="0" applyProtection="0">
      <alignment horizontal="left"/>
    </xf>
    <xf numFmtId="0" fontId="40" fillId="0" borderId="21" applyFill="0" applyBorder="0" applyProtection="0">
      <alignment horizontal="left" vertical="top"/>
    </xf>
    <xf numFmtId="0" fontId="87" fillId="0" borderId="0">
      <alignment horizontal="centerContinuous"/>
    </xf>
    <xf numFmtId="0" fontId="88" fillId="0" borderId="21" applyFill="0" applyBorder="0" applyProtection="0"/>
    <xf numFmtId="0" fontId="88" fillId="0" borderId="0"/>
    <xf numFmtId="0" fontId="89" fillId="0" borderId="0" applyFill="0" applyBorder="0" applyProtection="0"/>
    <xf numFmtId="0" fontId="90" fillId="0" borderId="0"/>
    <xf numFmtId="0" fontId="91" fillId="0" borderId="0" applyNumberFormat="0" applyFill="0" applyBorder="0" applyAlignment="0" applyProtection="0"/>
    <xf numFmtId="49" fontId="92" fillId="44" borderId="22" applyNumberFormat="0">
      <alignment horizontal="center" vertical="center"/>
    </xf>
    <xf numFmtId="0" fontId="93" fillId="0" borderId="23" applyNumberFormat="0" applyFill="0" applyAlignment="0" applyProtection="0"/>
    <xf numFmtId="0" fontId="94" fillId="0" borderId="7" applyFill="0" applyBorder="0" applyProtection="0">
      <alignment vertical="center"/>
    </xf>
    <xf numFmtId="0" fontId="95" fillId="0" borderId="0">
      <alignment horizontal="fill"/>
    </xf>
    <xf numFmtId="0" fontId="42" fillId="0" borderId="0"/>
    <xf numFmtId="0" fontId="96" fillId="0" borderId="0" applyNumberFormat="0" applyFill="0" applyBorder="0" applyAlignment="0" applyProtection="0"/>
    <xf numFmtId="0" fontId="97" fillId="0" borderId="16" applyBorder="0" applyProtection="0">
      <alignment horizontal="right"/>
    </xf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178" fontId="17" fillId="0" borderId="3">
      <protection locked="0"/>
    </xf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3" fontId="98" fillId="0" borderId="0">
      <alignment horizontal="center" vertical="center" textRotation="90" wrapText="1"/>
    </xf>
    <xf numFmtId="201" fontId="17" fillId="0" borderId="6">
      <alignment vertical="top" wrapText="1"/>
    </xf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99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202" fontId="102" fillId="0" borderId="6">
      <alignment vertical="top" wrapText="1"/>
    </xf>
    <xf numFmtId="4" fontId="103" fillId="0" borderId="6">
      <alignment horizontal="left" vertical="center"/>
    </xf>
    <xf numFmtId="4" fontId="103" fillId="0" borderId="6"/>
    <xf numFmtId="4" fontId="103" fillId="49" borderId="6"/>
    <xf numFmtId="4" fontId="103" fillId="50" borderId="6"/>
    <xf numFmtId="4" fontId="104" fillId="51" borderId="6"/>
    <xf numFmtId="4" fontId="105" fillId="2" borderId="6"/>
    <xf numFmtId="4" fontId="106" fillId="0" borderId="6">
      <alignment horizontal="center" wrapText="1"/>
    </xf>
    <xf numFmtId="202" fontId="103" fillId="0" borderId="6"/>
    <xf numFmtId="202" fontId="102" fillId="0" borderId="6">
      <alignment horizontal="center" vertical="center" wrapText="1"/>
    </xf>
    <xf numFmtId="202" fontId="102" fillId="0" borderId="6">
      <alignment vertical="top" wrapText="1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07" fillId="0" borderId="0" applyBorder="0">
      <alignment horizontal="center" vertical="center" wrapText="1"/>
    </xf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10" fillId="0" borderId="24" applyBorder="0">
      <alignment horizontal="center" vertical="center" wrapText="1"/>
    </xf>
    <xf numFmtId="178" fontId="27" fillId="26" borderId="3"/>
    <xf numFmtId="4" fontId="65" fillId="4" borderId="6" applyBorder="0">
      <alignment horizontal="right"/>
    </xf>
    <xf numFmtId="49" fontId="111" fillId="0" borderId="0" applyBorder="0">
      <alignment vertical="center"/>
    </xf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3" fontId="27" fillId="0" borderId="6" applyBorder="0">
      <alignment vertical="center"/>
    </xf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10" fillId="0" borderId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168" fontId="61" fillId="3" borderId="0" applyFill="0">
      <alignment wrapText="1"/>
    </xf>
    <xf numFmtId="0" fontId="109" fillId="0" borderId="0">
      <alignment horizontal="center" vertical="top" wrapText="1"/>
    </xf>
    <xf numFmtId="0" fontId="112" fillId="0" borderId="0">
      <alignment horizontal="centerContinuous" vertical="center" wrapText="1"/>
    </xf>
    <xf numFmtId="168" fontId="109" fillId="0" borderId="0">
      <alignment horizontal="center" vertical="top" wrapText="1"/>
    </xf>
    <xf numFmtId="203" fontId="113" fillId="3" borderId="6">
      <alignment wrapText="1"/>
    </xf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64" fontId="114" fillId="0" borderId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49" fontId="98" fillId="0" borderId="6">
      <alignment horizontal="right" vertical="top" wrapText="1"/>
    </xf>
    <xf numFmtId="185" fontId="115" fillId="0" borderId="0">
      <alignment horizontal="right" vertical="top" wrapText="1"/>
    </xf>
    <xf numFmtId="49" fontId="65" fillId="0" borderId="0" applyBorder="0">
      <alignment vertical="top"/>
    </xf>
    <xf numFmtId="0" fontId="1" fillId="0" borderId="0"/>
    <xf numFmtId="0" fontId="4" fillId="0" borderId="0"/>
    <xf numFmtId="0" fontId="1" fillId="0" borderId="0"/>
    <xf numFmtId="0" fontId="116" fillId="0" borderId="0"/>
    <xf numFmtId="0" fontId="14" fillId="0" borderId="0"/>
    <xf numFmtId="0" fontId="14" fillId="0" borderId="0"/>
    <xf numFmtId="0" fontId="1" fillId="0" borderId="0"/>
    <xf numFmtId="0" fontId="117" fillId="0" borderId="0"/>
    <xf numFmtId="0" fontId="10" fillId="0" borderId="0"/>
    <xf numFmtId="0" fontId="118" fillId="39" borderId="0" applyNumberFormat="0" applyBorder="0" applyAlignment="0">
      <alignment horizontal="left"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49" fontId="65" fillId="39" borderId="0" applyBorder="0">
      <alignment vertical="top"/>
    </xf>
    <xf numFmtId="49" fontId="65" fillId="0" borderId="0" applyBorder="0">
      <alignment vertical="top"/>
    </xf>
    <xf numFmtId="0" fontId="14" fillId="0" borderId="0"/>
    <xf numFmtId="0" fontId="14" fillId="0" borderId="0"/>
    <xf numFmtId="168" fontId="14" fillId="0" borderId="0"/>
    <xf numFmtId="49" fontId="65" fillId="0" borderId="0" applyBorder="0">
      <alignment vertical="top"/>
    </xf>
    <xf numFmtId="49" fontId="65" fillId="0" borderId="0" applyBorder="0">
      <alignment vertical="top"/>
    </xf>
    <xf numFmtId="49" fontId="65" fillId="0" borderId="0" applyBorder="0">
      <alignment vertical="top"/>
    </xf>
    <xf numFmtId="49" fontId="65" fillId="0" borderId="0" applyBorder="0">
      <alignment vertical="top"/>
    </xf>
    <xf numFmtId="49" fontId="65" fillId="0" borderId="0" applyBorder="0">
      <alignment vertical="top"/>
    </xf>
    <xf numFmtId="49" fontId="65" fillId="0" borderId="0" applyBorder="0">
      <alignment vertical="top"/>
    </xf>
    <xf numFmtId="0" fontId="10" fillId="0" borderId="0"/>
    <xf numFmtId="1" fontId="119" fillId="0" borderId="6">
      <alignment horizontal="left" vertical="center"/>
    </xf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0" fillId="0" borderId="0" applyFont="0" applyFill="0" applyBorder="0" applyProtection="0">
      <alignment horizontal="center" vertical="center" wrapText="1"/>
    </xf>
    <xf numFmtId="0" fontId="10" fillId="0" borderId="0" applyNumberFormat="0" applyFont="0" applyFill="0" applyBorder="0" applyProtection="0">
      <alignment horizontal="justify" vertical="center" wrapText="1"/>
    </xf>
    <xf numFmtId="202" fontId="120" fillId="0" borderId="6">
      <alignment vertical="top"/>
    </xf>
    <xf numFmtId="185" fontId="121" fillId="4" borderId="17" applyNumberFormat="0" applyBorder="0" applyAlignment="0">
      <alignment vertical="center"/>
      <protection locked="0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49" fontId="104" fillId="0" borderId="1">
      <alignment horizontal="left" vertical="center"/>
    </xf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204" fontId="122" fillId="0" borderId="6"/>
    <xf numFmtId="0" fontId="10" fillId="0" borderId="6" applyNumberFormat="0" applyFont="0" applyFill="0" applyAlignment="0" applyProtection="0"/>
    <xf numFmtId="3" fontId="123" fillId="52" borderId="1">
      <alignment horizontal="justify" vertical="center"/>
    </xf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2" fillId="0" borderId="0"/>
    <xf numFmtId="171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168" fontId="2" fillId="0" borderId="0"/>
    <xf numFmtId="49" fontId="115" fillId="0" borderId="0"/>
    <xf numFmtId="49" fontId="124" fillId="0" borderId="0">
      <alignment vertical="top"/>
    </xf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205" fontId="10" fillId="0" borderId="0" applyFont="0" applyFill="0" applyBorder="0" applyAlignment="0" applyProtection="0"/>
    <xf numFmtId="206" fontId="10" fillId="0" borderId="0" applyFont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206" fontId="4" fillId="0" borderId="0" applyFont="0" applyFill="0" applyBorder="0" applyAlignment="0" applyProtection="0"/>
    <xf numFmtId="206" fontId="4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4" fontId="65" fillId="3" borderId="0" applyBorder="0">
      <alignment horizontal="right"/>
    </xf>
    <xf numFmtId="4" fontId="65" fillId="3" borderId="0" applyBorder="0">
      <alignment horizontal="right"/>
    </xf>
    <xf numFmtId="4" fontId="65" fillId="3" borderId="0" applyFont="0" applyBorder="0">
      <alignment horizontal="right"/>
    </xf>
    <xf numFmtId="4" fontId="65" fillId="3" borderId="0" applyBorder="0">
      <alignment horizontal="right"/>
    </xf>
    <xf numFmtId="4" fontId="65" fillId="53" borderId="25" applyBorder="0">
      <alignment horizontal="right"/>
    </xf>
    <xf numFmtId="4" fontId="65" fillId="3" borderId="6" applyFont="0" applyBorder="0">
      <alignment horizontal="right"/>
    </xf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208" fontId="17" fillId="0" borderId="1">
      <alignment vertical="top" wrapText="1"/>
    </xf>
    <xf numFmtId="209" fontId="10" fillId="0" borderId="6" applyFont="0" applyFill="0" applyBorder="0" applyProtection="0">
      <alignment horizontal="center" vertical="center"/>
    </xf>
    <xf numFmtId="3" fontId="10" fillId="0" borderId="0" applyFont="0" applyBorder="0">
      <alignment horizontal="center"/>
    </xf>
    <xf numFmtId="210" fontId="11" fillId="0" borderId="0">
      <protection locked="0"/>
    </xf>
    <xf numFmtId="49" fontId="102" fillId="0" borderId="6">
      <alignment horizontal="center" vertical="center" wrapText="1"/>
    </xf>
    <xf numFmtId="0" fontId="17" fillId="0" borderId="6" applyBorder="0">
      <alignment horizontal="center" vertical="center" wrapText="1"/>
    </xf>
    <xf numFmtId="49" fontId="81" fillId="0" borderId="6" applyNumberFormat="0" applyFill="0" applyAlignment="0" applyProtection="0"/>
    <xf numFmtId="203" fontId="10" fillId="0" borderId="0"/>
    <xf numFmtId="0" fontId="4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60">
    <xf numFmtId="0" fontId="0" fillId="0" borderId="0" xfId="0"/>
    <xf numFmtId="0" fontId="127" fillId="0" borderId="0" xfId="0" applyFont="1" applyAlignment="1">
      <alignment wrapText="1"/>
    </xf>
    <xf numFmtId="0" fontId="125" fillId="55" borderId="6" xfId="0" applyFont="1" applyFill="1" applyBorder="1" applyAlignment="1">
      <alignment vertical="top" wrapText="1"/>
    </xf>
    <xf numFmtId="0" fontId="131" fillId="54" borderId="28" xfId="1710" applyFont="1" applyFill="1" applyBorder="1" applyAlignment="1">
      <alignment horizontal="center" vertical="center" wrapText="1"/>
    </xf>
    <xf numFmtId="0" fontId="133" fillId="54" borderId="6" xfId="1710" applyFont="1" applyFill="1" applyBorder="1" applyAlignment="1">
      <alignment horizontal="center" vertical="center" wrapText="1"/>
    </xf>
    <xf numFmtId="0" fontId="128" fillId="0" borderId="0" xfId="0" applyFont="1" applyAlignment="1">
      <alignment wrapText="1"/>
    </xf>
    <xf numFmtId="0" fontId="128" fillId="0" borderId="0" xfId="0" applyFont="1" applyAlignment="1">
      <alignment vertical="top" wrapText="1"/>
    </xf>
    <xf numFmtId="0" fontId="125" fillId="55" borderId="29" xfId="0" applyFont="1" applyFill="1" applyBorder="1" applyAlignment="1">
      <alignment vertical="top" wrapText="1"/>
    </xf>
    <xf numFmtId="0" fontId="129" fillId="55" borderId="29" xfId="0" applyFont="1" applyFill="1" applyBorder="1" applyAlignment="1">
      <alignment vertical="top" wrapText="1"/>
    </xf>
    <xf numFmtId="0" fontId="125" fillId="0" borderId="29" xfId="0" applyFont="1" applyBorder="1" applyAlignment="1">
      <alignment vertical="top" wrapText="1"/>
    </xf>
    <xf numFmtId="0" fontId="130" fillId="55" borderId="29" xfId="0" applyFont="1" applyFill="1" applyBorder="1" applyAlignment="1">
      <alignment vertical="top" wrapText="1"/>
    </xf>
    <xf numFmtId="0" fontId="131" fillId="54" borderId="32" xfId="1710" applyFont="1" applyFill="1" applyBorder="1" applyAlignment="1">
      <alignment horizontal="center" vertical="center" wrapText="1"/>
    </xf>
    <xf numFmtId="0" fontId="131" fillId="54" borderId="33" xfId="1710" applyFont="1" applyFill="1" applyBorder="1" applyAlignment="1">
      <alignment horizontal="center" vertical="center" wrapText="1"/>
    </xf>
    <xf numFmtId="0" fontId="135" fillId="55" borderId="34" xfId="0" applyFont="1" applyFill="1" applyBorder="1" applyAlignment="1">
      <alignment horizontal="center" vertical="center" wrapText="1"/>
    </xf>
    <xf numFmtId="0" fontId="135" fillId="55" borderId="35" xfId="0" applyFont="1" applyFill="1" applyBorder="1" applyAlignment="1">
      <alignment horizontal="center" vertical="center" wrapText="1"/>
    </xf>
    <xf numFmtId="4" fontId="131" fillId="55" borderId="6" xfId="0" applyNumberFormat="1" applyFont="1" applyFill="1" applyBorder="1" applyAlignment="1">
      <alignment horizontal="center" vertical="center"/>
    </xf>
    <xf numFmtId="203" fontId="125" fillId="55" borderId="6" xfId="0" applyNumberFormat="1" applyFont="1" applyFill="1" applyBorder="1" applyAlignment="1">
      <alignment horizontal="center" vertical="center"/>
    </xf>
    <xf numFmtId="4" fontId="131" fillId="0" borderId="6" xfId="0" applyNumberFormat="1" applyFont="1" applyFill="1" applyBorder="1" applyAlignment="1">
      <alignment horizontal="center" vertical="center"/>
    </xf>
    <xf numFmtId="0" fontId="130" fillId="54" borderId="29" xfId="0" applyFont="1" applyFill="1" applyBorder="1"/>
    <xf numFmtId="203" fontId="134" fillId="54" borderId="6" xfId="0" applyNumberFormat="1" applyFont="1" applyFill="1" applyBorder="1" applyAlignment="1">
      <alignment horizontal="center" vertical="center"/>
    </xf>
    <xf numFmtId="4" fontId="126" fillId="0" borderId="6" xfId="0" applyNumberFormat="1" applyFont="1" applyFill="1" applyBorder="1" applyAlignment="1">
      <alignment horizontal="center" vertical="center"/>
    </xf>
    <xf numFmtId="4" fontId="127" fillId="0" borderId="6" xfId="0" applyNumberFormat="1" applyFont="1" applyFill="1" applyBorder="1" applyAlignment="1">
      <alignment horizontal="center" vertical="center"/>
    </xf>
    <xf numFmtId="0" fontId="128" fillId="0" borderId="0" xfId="0" applyFont="1"/>
    <xf numFmtId="204" fontId="125" fillId="55" borderId="6" xfId="0" applyNumberFormat="1" applyFont="1" applyFill="1" applyBorder="1" applyAlignment="1">
      <alignment horizontal="center" vertical="center"/>
    </xf>
    <xf numFmtId="2" fontId="125" fillId="55" borderId="6" xfId="0" applyNumberFormat="1" applyFont="1" applyFill="1" applyBorder="1" applyAlignment="1">
      <alignment horizontal="center" vertical="center"/>
    </xf>
    <xf numFmtId="4" fontId="132" fillId="55" borderId="6" xfId="0" applyNumberFormat="1" applyFont="1" applyFill="1" applyBorder="1" applyAlignment="1">
      <alignment horizontal="center" vertical="center"/>
    </xf>
    <xf numFmtId="2" fontId="132" fillId="56" borderId="6" xfId="0" applyNumberFormat="1" applyFont="1" applyFill="1" applyBorder="1" applyAlignment="1">
      <alignment horizontal="center" vertical="center"/>
    </xf>
    <xf numFmtId="4" fontId="125" fillId="55" borderId="6" xfId="0" applyNumberFormat="1" applyFont="1" applyFill="1" applyBorder="1" applyAlignment="1">
      <alignment horizontal="center" vertical="center"/>
    </xf>
    <xf numFmtId="2" fontId="134" fillId="56" borderId="6" xfId="0" applyNumberFormat="1" applyFont="1" applyFill="1" applyBorder="1" applyAlignment="1">
      <alignment horizontal="center" vertical="center"/>
    </xf>
    <xf numFmtId="4" fontId="136" fillId="56" borderId="6" xfId="0" applyNumberFormat="1" applyFont="1" applyFill="1" applyBorder="1" applyAlignment="1">
      <alignment horizontal="center" vertical="center"/>
    </xf>
    <xf numFmtId="4" fontId="132" fillId="56" borderId="6" xfId="0" applyNumberFormat="1" applyFont="1" applyFill="1" applyBorder="1" applyAlignment="1">
      <alignment horizontal="center" vertical="center"/>
    </xf>
    <xf numFmtId="0" fontId="125" fillId="0" borderId="29" xfId="0" applyFont="1" applyFill="1" applyBorder="1" applyAlignment="1">
      <alignment vertical="top" wrapText="1"/>
    </xf>
    <xf numFmtId="0" fontId="125" fillId="0" borderId="6" xfId="0" applyFont="1" applyFill="1" applyBorder="1" applyAlignment="1">
      <alignment vertical="top" wrapText="1"/>
    </xf>
    <xf numFmtId="0" fontId="129" fillId="0" borderId="29" xfId="0" applyFont="1" applyFill="1" applyBorder="1" applyAlignment="1">
      <alignment vertical="top" wrapText="1"/>
    </xf>
    <xf numFmtId="4" fontId="128" fillId="0" borderId="0" xfId="0" applyNumberFormat="1" applyFont="1" applyAlignment="1">
      <alignment wrapText="1"/>
    </xf>
    <xf numFmtId="0" fontId="125" fillId="54" borderId="0" xfId="0" applyFont="1" applyFill="1" applyBorder="1" applyAlignment="1">
      <alignment horizontal="left" wrapText="1"/>
    </xf>
    <xf numFmtId="2" fontId="136" fillId="56" borderId="6" xfId="0" applyNumberFormat="1" applyFont="1" applyFill="1" applyBorder="1" applyAlignment="1">
      <alignment horizontal="center" vertical="center"/>
    </xf>
    <xf numFmtId="203" fontId="131" fillId="55" borderId="6" xfId="0" applyNumberFormat="1" applyFont="1" applyFill="1" applyBorder="1" applyAlignment="1">
      <alignment horizontal="center" vertical="center"/>
    </xf>
    <xf numFmtId="203" fontId="132" fillId="55" borderId="6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right" wrapText="1"/>
    </xf>
    <xf numFmtId="0" fontId="134" fillId="0" borderId="0" xfId="0" applyFont="1" applyBorder="1" applyAlignment="1">
      <alignment horizontal="center" wrapText="1"/>
    </xf>
    <xf numFmtId="0" fontId="125" fillId="54" borderId="6" xfId="1710" applyFont="1" applyFill="1" applyBorder="1" applyAlignment="1">
      <alignment horizontal="center" vertical="center" wrapText="1"/>
    </xf>
    <xf numFmtId="166" fontId="125" fillId="54" borderId="6" xfId="1990" applyFont="1" applyFill="1" applyBorder="1" applyAlignment="1">
      <alignment horizontal="center" vertical="center" wrapText="1"/>
    </xf>
    <xf numFmtId="0" fontId="0" fillId="0" borderId="0" xfId="0" applyBorder="1" applyAlignment="1">
      <alignment horizontal="right" wrapText="1"/>
    </xf>
    <xf numFmtId="17" fontId="132" fillId="54" borderId="6" xfId="1710" applyNumberFormat="1" applyFont="1" applyFill="1" applyBorder="1" applyAlignment="1">
      <alignment horizontal="center" vertical="center" wrapText="1"/>
    </xf>
    <xf numFmtId="17" fontId="125" fillId="54" borderId="6" xfId="1710" applyNumberFormat="1" applyFont="1" applyFill="1" applyBorder="1" applyAlignment="1">
      <alignment horizontal="center" vertical="center" wrapText="1"/>
    </xf>
    <xf numFmtId="209" fontId="127" fillId="0" borderId="6" xfId="0" applyNumberFormat="1" applyFont="1" applyFill="1" applyBorder="1" applyAlignment="1">
      <alignment horizontal="center" vertical="center"/>
    </xf>
    <xf numFmtId="209" fontId="126" fillId="0" borderId="6" xfId="0" applyNumberFormat="1" applyFont="1" applyFill="1" applyBorder="1" applyAlignment="1">
      <alignment horizontal="center" vertical="center"/>
    </xf>
    <xf numFmtId="209" fontId="134" fillId="54" borderId="6" xfId="0" applyNumberFormat="1" applyFont="1" applyFill="1" applyBorder="1" applyAlignment="1">
      <alignment horizontal="center" vertical="center"/>
    </xf>
    <xf numFmtId="0" fontId="127" fillId="0" borderId="0" xfId="0" applyFont="1" applyBorder="1" applyAlignment="1">
      <alignment horizontal="right" wrapText="1"/>
    </xf>
    <xf numFmtId="185" fontId="0" fillId="0" borderId="0" xfId="0" applyNumberFormat="1"/>
    <xf numFmtId="209" fontId="125" fillId="0" borderId="29" xfId="0" applyNumberFormat="1" applyFont="1" applyFill="1" applyBorder="1" applyAlignment="1">
      <alignment horizontal="center" vertical="center" wrapText="1"/>
    </xf>
    <xf numFmtId="209" fontId="125" fillId="0" borderId="6" xfId="0" applyNumberFormat="1" applyFont="1" applyFill="1" applyBorder="1" applyAlignment="1">
      <alignment horizontal="center" vertical="center" wrapText="1"/>
    </xf>
    <xf numFmtId="204" fontId="125" fillId="55" borderId="6" xfId="0" applyNumberFormat="1" applyFont="1" applyFill="1" applyBorder="1" applyAlignment="1">
      <alignment horizontal="center" vertical="center" wrapText="1"/>
    </xf>
    <xf numFmtId="185" fontId="125" fillId="55" borderId="6" xfId="0" applyNumberFormat="1" applyFont="1" applyFill="1" applyBorder="1" applyAlignment="1">
      <alignment horizontal="center" vertical="center" wrapText="1"/>
    </xf>
    <xf numFmtId="0" fontId="132" fillId="0" borderId="0" xfId="1710" applyFont="1" applyFill="1" applyBorder="1" applyAlignment="1">
      <alignment horizontal="center" vertical="center" wrapText="1"/>
    </xf>
    <xf numFmtId="0" fontId="0" fillId="0" borderId="0" xfId="0" applyFill="1"/>
    <xf numFmtId="204" fontId="125" fillId="0" borderId="0" xfId="0" applyNumberFormat="1" applyFont="1" applyFill="1" applyBorder="1" applyAlignment="1">
      <alignment horizontal="center" vertical="center"/>
    </xf>
    <xf numFmtId="1" fontId="125" fillId="0" borderId="0" xfId="0" applyNumberFormat="1" applyFont="1" applyFill="1" applyBorder="1" applyAlignment="1">
      <alignment horizontal="center" vertical="center"/>
    </xf>
    <xf numFmtId="2" fontId="125" fillId="0" borderId="0" xfId="0" applyNumberFormat="1" applyFont="1" applyFill="1" applyBorder="1" applyAlignment="1">
      <alignment horizontal="center" vertical="center"/>
    </xf>
    <xf numFmtId="209" fontId="134" fillId="54" borderId="29" xfId="0" applyNumberFormat="1" applyFont="1" applyFill="1" applyBorder="1" applyAlignment="1">
      <alignment horizontal="center" vertical="center"/>
    </xf>
    <xf numFmtId="203" fontId="134" fillId="54" borderId="29" xfId="0" applyNumberFormat="1" applyFont="1" applyFill="1" applyBorder="1" applyAlignment="1">
      <alignment horizontal="center" vertical="center"/>
    </xf>
    <xf numFmtId="209" fontId="0" fillId="0" borderId="0" xfId="0" applyNumberFormat="1"/>
    <xf numFmtId="17" fontId="132" fillId="54" borderId="0" xfId="1710" applyNumberFormat="1" applyFont="1" applyFill="1" applyBorder="1" applyAlignment="1">
      <alignment horizontal="center" vertical="center" wrapText="1"/>
    </xf>
    <xf numFmtId="209" fontId="126" fillId="0" borderId="0" xfId="0" applyNumberFormat="1" applyFont="1" applyFill="1" applyBorder="1" applyAlignment="1">
      <alignment horizontal="center" vertical="center"/>
    </xf>
    <xf numFmtId="209" fontId="127" fillId="0" borderId="0" xfId="0" applyNumberFormat="1" applyFont="1" applyFill="1" applyBorder="1" applyAlignment="1">
      <alignment horizontal="center" vertical="center"/>
    </xf>
    <xf numFmtId="203" fontId="134" fillId="54" borderId="0" xfId="0" applyNumberFormat="1" applyFont="1" applyFill="1" applyBorder="1" applyAlignment="1">
      <alignment horizontal="center" vertical="center"/>
    </xf>
    <xf numFmtId="4" fontId="0" fillId="0" borderId="0" xfId="0" applyNumberFormat="1"/>
    <xf numFmtId="2" fontId="125" fillId="55" borderId="6" xfId="0" applyNumberFormat="1" applyFont="1" applyFill="1" applyBorder="1" applyAlignment="1">
      <alignment horizontal="center" vertical="center" wrapText="1"/>
    </xf>
    <xf numFmtId="4" fontId="125" fillId="0" borderId="29" xfId="0" applyNumberFormat="1" applyFont="1" applyFill="1" applyBorder="1" applyAlignment="1">
      <alignment horizontal="center" vertical="center" wrapText="1"/>
    </xf>
    <xf numFmtId="203" fontId="125" fillId="0" borderId="29" xfId="0" applyNumberFormat="1" applyFont="1" applyFill="1" applyBorder="1" applyAlignment="1">
      <alignment horizontal="center" vertical="center" wrapText="1"/>
    </xf>
    <xf numFmtId="4" fontId="125" fillId="0" borderId="6" xfId="0" applyNumberFormat="1" applyFont="1" applyFill="1" applyBorder="1" applyAlignment="1">
      <alignment horizontal="center" vertical="center" wrapText="1"/>
    </xf>
    <xf numFmtId="4" fontId="134" fillId="54" borderId="29" xfId="0" applyNumberFormat="1" applyFont="1" applyFill="1" applyBorder="1" applyAlignment="1">
      <alignment horizontal="center" vertical="center"/>
    </xf>
    <xf numFmtId="4" fontId="134" fillId="54" borderId="6" xfId="0" applyNumberFormat="1" applyFont="1" applyFill="1" applyBorder="1" applyAlignment="1">
      <alignment horizontal="center" vertical="center"/>
    </xf>
    <xf numFmtId="0" fontId="127" fillId="0" borderId="0" xfId="0" applyFont="1" applyBorder="1" applyAlignment="1">
      <alignment horizontal="right" wrapText="1"/>
    </xf>
    <xf numFmtId="203" fontId="128" fillId="0" borderId="0" xfId="0" applyNumberFormat="1" applyFont="1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27" fillId="0" borderId="27" xfId="0" applyFont="1" applyBorder="1" applyAlignment="1">
      <alignment horizontal="right"/>
    </xf>
    <xf numFmtId="0" fontId="0" fillId="0" borderId="27" xfId="0" applyBorder="1" applyAlignment="1"/>
    <xf numFmtId="0" fontId="127" fillId="0" borderId="0" xfId="0" applyFont="1" applyBorder="1" applyAlignment="1">
      <alignment horizontal="right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27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127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127" fillId="0" borderId="0" xfId="0" applyFont="1" applyBorder="1" applyAlignment="1">
      <alignment horizontal="right" wrapText="1"/>
    </xf>
    <xf numFmtId="204" fontId="0" fillId="0" borderId="0" xfId="0" applyNumberFormat="1"/>
    <xf numFmtId="0" fontId="128" fillId="0" borderId="6" xfId="0" applyFont="1" applyBorder="1" applyAlignment="1">
      <alignment horizontal="center" vertical="center" wrapText="1"/>
    </xf>
    <xf numFmtId="4" fontId="128" fillId="0" borderId="6" xfId="0" applyNumberFormat="1" applyFont="1" applyBorder="1" applyAlignment="1">
      <alignment horizontal="center" vertical="center" wrapText="1"/>
    </xf>
    <xf numFmtId="2" fontId="128" fillId="0" borderId="6" xfId="0" applyNumberFormat="1" applyFont="1" applyBorder="1" applyAlignment="1">
      <alignment horizontal="center" vertical="center" wrapText="1"/>
    </xf>
    <xf numFmtId="2" fontId="128" fillId="0" borderId="0" xfId="0" applyNumberFormat="1" applyFont="1" applyAlignment="1">
      <alignment wrapText="1"/>
    </xf>
    <xf numFmtId="0" fontId="125" fillId="54" borderId="31" xfId="1710" applyFont="1" applyFill="1" applyBorder="1" applyAlignment="1">
      <alignment horizontal="center" vertical="center" wrapText="1"/>
    </xf>
    <xf numFmtId="0" fontId="125" fillId="0" borderId="0" xfId="0" applyFont="1" applyBorder="1" applyAlignment="1">
      <alignment horizontal="right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28" fillId="0" borderId="0" xfId="0" applyFont="1" applyBorder="1" applyAlignment="1">
      <alignment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185" fontId="125" fillId="55" borderId="6" xfId="0" applyNumberFormat="1" applyFont="1" applyFill="1" applyBorder="1" applyAlignment="1">
      <alignment horizontal="center" vertical="center"/>
    </xf>
    <xf numFmtId="4" fontId="140" fillId="55" borderId="6" xfId="0" applyNumberFormat="1" applyFont="1" applyFill="1" applyBorder="1" applyAlignment="1">
      <alignment horizontal="center" vertical="center"/>
    </xf>
    <xf numFmtId="167" fontId="141" fillId="55" borderId="38" xfId="1991" applyFont="1" applyFill="1" applyBorder="1" applyAlignment="1">
      <alignment horizontal="center" vertical="center" wrapText="1"/>
    </xf>
    <xf numFmtId="167" fontId="141" fillId="55" borderId="6" xfId="1991" applyFont="1" applyFill="1" applyBorder="1" applyAlignment="1">
      <alignment horizontal="center" vertical="center" wrapText="1"/>
    </xf>
    <xf numFmtId="43" fontId="128" fillId="0" borderId="0" xfId="0" applyNumberFormat="1" applyFont="1" applyAlignment="1">
      <alignment wrapText="1"/>
    </xf>
    <xf numFmtId="0" fontId="143" fillId="54" borderId="38" xfId="1710" applyFont="1" applyFill="1" applyBorder="1" applyAlignment="1">
      <alignment horizontal="center" vertical="center" wrapText="1"/>
    </xf>
    <xf numFmtId="0" fontId="146" fillId="54" borderId="6" xfId="1710" applyFont="1" applyFill="1" applyBorder="1" applyAlignment="1">
      <alignment horizontal="center" vertical="center" wrapText="1"/>
    </xf>
    <xf numFmtId="0" fontId="140" fillId="54" borderId="39" xfId="1710" applyFont="1" applyFill="1" applyBorder="1" applyAlignment="1">
      <alignment horizontal="center" vertical="center" wrapText="1"/>
    </xf>
    <xf numFmtId="0" fontId="140" fillId="54" borderId="32" xfId="1710" applyFont="1" applyFill="1" applyBorder="1" applyAlignment="1">
      <alignment horizontal="center" vertical="center" wrapText="1"/>
    </xf>
    <xf numFmtId="0" fontId="140" fillId="54" borderId="28" xfId="1710" applyFont="1" applyFill="1" applyBorder="1" applyAlignment="1">
      <alignment horizontal="center" vertical="center" wrapText="1"/>
    </xf>
    <xf numFmtId="0" fontId="140" fillId="54" borderId="33" xfId="1710" applyFont="1" applyFill="1" applyBorder="1" applyAlignment="1">
      <alignment horizontal="center" vertical="center" wrapText="1"/>
    </xf>
    <xf numFmtId="0" fontId="140" fillId="54" borderId="38" xfId="1710" applyFont="1" applyFill="1" applyBorder="1" applyAlignment="1">
      <alignment horizontal="center" vertical="center" wrapText="1"/>
    </xf>
    <xf numFmtId="0" fontId="140" fillId="54" borderId="6" xfId="1710" applyFont="1" applyFill="1" applyBorder="1" applyAlignment="1">
      <alignment horizontal="center" vertical="center" wrapText="1"/>
    </xf>
    <xf numFmtId="167" fontId="140" fillId="54" borderId="38" xfId="1991" applyFont="1" applyFill="1" applyBorder="1" applyAlignment="1">
      <alignment horizontal="center" vertical="center" wrapText="1"/>
    </xf>
    <xf numFmtId="167" fontId="140" fillId="54" borderId="6" xfId="1991" applyFont="1" applyFill="1" applyBorder="1" applyAlignment="1">
      <alignment horizontal="center" vertical="center" wrapText="1"/>
    </xf>
    <xf numFmtId="167" fontId="146" fillId="54" borderId="6" xfId="1991" applyFont="1" applyFill="1" applyBorder="1" applyAlignment="1">
      <alignment horizontal="center" vertical="center" wrapText="1"/>
    </xf>
    <xf numFmtId="167" fontId="140" fillId="54" borderId="39" xfId="1991" applyFont="1" applyFill="1" applyBorder="1" applyAlignment="1">
      <alignment horizontal="center" vertical="center" wrapText="1"/>
    </xf>
    <xf numFmtId="167" fontId="126" fillId="0" borderId="6" xfId="1991" applyFont="1" applyFill="1" applyBorder="1" applyAlignment="1">
      <alignment horizontal="center" vertical="center"/>
    </xf>
    <xf numFmtId="167" fontId="127" fillId="0" borderId="6" xfId="1991" applyFont="1" applyBorder="1" applyAlignment="1">
      <alignment horizontal="center" vertical="center"/>
    </xf>
    <xf numFmtId="167" fontId="134" fillId="54" borderId="6" xfId="1991" applyFont="1" applyFill="1" applyBorder="1" applyAlignment="1">
      <alignment horizontal="center" vertical="center"/>
    </xf>
    <xf numFmtId="167" fontId="148" fillId="0" borderId="6" xfId="1991" applyFont="1" applyBorder="1" applyAlignment="1">
      <alignment horizontal="center" vertical="center"/>
    </xf>
    <xf numFmtId="166" fontId="134" fillId="54" borderId="6" xfId="1990" applyFont="1" applyFill="1" applyBorder="1" applyAlignment="1">
      <alignment horizontal="center" vertical="center" wrapText="1"/>
    </xf>
    <xf numFmtId="0" fontId="134" fillId="55" borderId="6" xfId="0" applyFont="1" applyFill="1" applyBorder="1" applyAlignment="1">
      <alignment horizontal="center" vertical="center" wrapText="1"/>
    </xf>
    <xf numFmtId="0" fontId="130" fillId="55" borderId="6" xfId="0" applyFont="1" applyFill="1" applyBorder="1" applyAlignment="1">
      <alignment horizontal="center" vertical="center" wrapText="1"/>
    </xf>
    <xf numFmtId="0" fontId="130" fillId="55" borderId="6" xfId="0" applyFont="1" applyFill="1" applyBorder="1" applyAlignment="1">
      <alignment horizontal="center" vertical="center"/>
    </xf>
    <xf numFmtId="0" fontId="149" fillId="55" borderId="6" xfId="0" applyFont="1" applyFill="1" applyBorder="1" applyAlignment="1">
      <alignment vertical="top" wrapText="1"/>
    </xf>
    <xf numFmtId="0" fontId="149" fillId="0" borderId="29" xfId="0" applyFont="1" applyBorder="1" applyAlignment="1">
      <alignment vertical="top" wrapText="1"/>
    </xf>
    <xf numFmtId="167" fontId="140" fillId="54" borderId="29" xfId="1991" applyFont="1" applyFill="1" applyBorder="1" applyAlignment="1">
      <alignment horizontal="center" vertical="center" wrapText="1"/>
    </xf>
    <xf numFmtId="167" fontId="140" fillId="54" borderId="26" xfId="1991" applyFont="1" applyFill="1" applyBorder="1" applyAlignment="1">
      <alignment horizontal="center" vertical="center" wrapText="1"/>
    </xf>
    <xf numFmtId="167" fontId="141" fillId="55" borderId="26" xfId="1991" applyFont="1" applyFill="1" applyBorder="1" applyAlignment="1">
      <alignment horizontal="center" vertical="center" wrapText="1"/>
    </xf>
    <xf numFmtId="0" fontId="150" fillId="54" borderId="26" xfId="1710" applyFont="1" applyFill="1" applyBorder="1" applyAlignment="1">
      <alignment horizontal="center" vertical="center" wrapText="1"/>
    </xf>
    <xf numFmtId="0" fontId="150" fillId="54" borderId="6" xfId="1710" applyFont="1" applyFill="1" applyBorder="1" applyAlignment="1">
      <alignment horizontal="center" vertical="center" wrapText="1"/>
    </xf>
    <xf numFmtId="0" fontId="138" fillId="0" borderId="34" xfId="0" applyFont="1" applyBorder="1" applyAlignment="1">
      <alignment horizontal="center" vertical="center" wrapText="1"/>
    </xf>
    <xf numFmtId="0" fontId="141" fillId="55" borderId="34" xfId="0" applyFont="1" applyFill="1" applyBorder="1" applyAlignment="1">
      <alignment horizontal="center" vertical="center" wrapText="1"/>
    </xf>
    <xf numFmtId="0" fontId="125" fillId="55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6" fontId="141" fillId="0" borderId="34" xfId="0" applyNumberFormat="1" applyFont="1" applyBorder="1" applyAlignment="1">
      <alignment horizontal="center" vertical="center" wrapText="1"/>
    </xf>
    <xf numFmtId="167" fontId="150" fillId="54" borderId="6" xfId="1991" applyFont="1" applyFill="1" applyBorder="1" applyAlignment="1">
      <alignment vertical="center" wrapText="1"/>
    </xf>
    <xf numFmtId="167" fontId="150" fillId="54" borderId="26" xfId="1991" applyFont="1" applyFill="1" applyBorder="1" applyAlignment="1">
      <alignment vertical="center" wrapText="1"/>
    </xf>
    <xf numFmtId="167" fontId="150" fillId="57" borderId="6" xfId="1991" applyFont="1" applyFill="1" applyBorder="1" applyAlignment="1">
      <alignment vertical="center" wrapText="1"/>
    </xf>
    <xf numFmtId="167" fontId="150" fillId="54" borderId="6" xfId="1991" applyFont="1" applyFill="1" applyBorder="1" applyAlignment="1">
      <alignment horizontal="center" vertical="center" wrapText="1"/>
    </xf>
    <xf numFmtId="167" fontId="150" fillId="54" borderId="26" xfId="1991" applyFont="1" applyFill="1" applyBorder="1" applyAlignment="1">
      <alignment horizontal="center" vertical="center" wrapText="1"/>
    </xf>
    <xf numFmtId="0" fontId="152" fillId="55" borderId="6" xfId="0" applyFont="1" applyFill="1" applyBorder="1" applyAlignment="1">
      <alignment vertical="top" wrapText="1"/>
    </xf>
    <xf numFmtId="167" fontId="151" fillId="54" borderId="6" xfId="1991" applyFont="1" applyFill="1" applyBorder="1" applyAlignment="1">
      <alignment vertical="center" wrapText="1"/>
    </xf>
    <xf numFmtId="167" fontId="151" fillId="54" borderId="26" xfId="1991" applyFont="1" applyFill="1" applyBorder="1" applyAlignment="1">
      <alignment vertical="center" wrapText="1"/>
    </xf>
    <xf numFmtId="0" fontId="150" fillId="54" borderId="39" xfId="1710" applyFont="1" applyFill="1" applyBorder="1" applyAlignment="1">
      <alignment horizontal="center" vertical="center" wrapText="1"/>
    </xf>
    <xf numFmtId="167" fontId="150" fillId="54" borderId="39" xfId="1991" applyFont="1" applyFill="1" applyBorder="1" applyAlignment="1">
      <alignment vertical="center" wrapText="1"/>
    </xf>
    <xf numFmtId="167" fontId="150" fillId="54" borderId="38" xfId="1991" applyFont="1" applyFill="1" applyBorder="1" applyAlignment="1">
      <alignment vertical="center" wrapText="1"/>
    </xf>
    <xf numFmtId="17" fontId="134" fillId="54" borderId="6" xfId="1710" applyNumberFormat="1" applyFont="1" applyFill="1" applyBorder="1" applyAlignment="1">
      <alignment horizontal="center" vertical="center" wrapText="1"/>
    </xf>
    <xf numFmtId="167" fontId="127" fillId="54" borderId="6" xfId="1991" applyFont="1" applyFill="1" applyBorder="1" applyAlignment="1">
      <alignment horizontal="center" vertical="center"/>
    </xf>
    <xf numFmtId="167" fontId="148" fillId="54" borderId="6" xfId="1991" applyFont="1" applyFill="1" applyBorder="1" applyAlignment="1">
      <alignment horizontal="center" vertical="center"/>
    </xf>
    <xf numFmtId="167" fontId="151" fillId="54" borderId="26" xfId="1991" applyFont="1" applyFill="1" applyBorder="1" applyAlignment="1">
      <alignment horizontal="center" vertical="center" wrapText="1"/>
    </xf>
    <xf numFmtId="167" fontId="153" fillId="54" borderId="6" xfId="1991" applyFont="1" applyFill="1" applyBorder="1" applyAlignment="1">
      <alignment horizontal="center" vertical="center" wrapText="1"/>
    </xf>
    <xf numFmtId="167" fontId="153" fillId="54" borderId="26" xfId="1991" applyFont="1" applyFill="1" applyBorder="1" applyAlignment="1">
      <alignment horizontal="center" vertical="center" wrapText="1"/>
    </xf>
    <xf numFmtId="167" fontId="153" fillId="57" borderId="6" xfId="1991" applyFont="1" applyFill="1" applyBorder="1" applyAlignment="1">
      <alignment horizontal="center" vertical="center" wrapText="1"/>
    </xf>
    <xf numFmtId="0" fontId="154" fillId="0" borderId="29" xfId="0" applyFont="1" applyBorder="1" applyAlignment="1">
      <alignment vertical="top" wrapText="1"/>
    </xf>
    <xf numFmtId="0" fontId="151" fillId="57" borderId="27" xfId="0" applyFont="1" applyFill="1" applyBorder="1" applyAlignment="1">
      <alignment horizontal="center" vertical="center" wrapText="1"/>
    </xf>
    <xf numFmtId="0" fontId="151" fillId="57" borderId="44" xfId="0" applyFont="1" applyFill="1" applyBorder="1" applyAlignment="1">
      <alignment horizontal="center" vertical="center" wrapText="1"/>
    </xf>
    <xf numFmtId="167" fontId="151" fillId="54" borderId="39" xfId="1991" applyFont="1" applyFill="1" applyBorder="1" applyAlignment="1">
      <alignment vertical="center" wrapText="1"/>
    </xf>
    <xf numFmtId="167" fontId="151" fillId="54" borderId="38" xfId="1991" applyFont="1" applyFill="1" applyBorder="1" applyAlignment="1">
      <alignment vertical="center" wrapText="1"/>
    </xf>
    <xf numFmtId="0" fontId="0" fillId="0" borderId="0" xfId="0" applyBorder="1"/>
    <xf numFmtId="0" fontId="156" fillId="0" borderId="0" xfId="0" applyFont="1" applyAlignment="1">
      <alignment vertical="center"/>
    </xf>
    <xf numFmtId="0" fontId="0" fillId="0" borderId="0" xfId="0" applyAlignment="1">
      <alignment vertical="center"/>
    </xf>
    <xf numFmtId="0" fontId="156" fillId="0" borderId="0" xfId="0" applyFont="1" applyAlignment="1"/>
    <xf numFmtId="0" fontId="0" fillId="0" borderId="0" xfId="0" applyAlignment="1"/>
    <xf numFmtId="0" fontId="155" fillId="0" borderId="0" xfId="0" applyFont="1" applyAlignment="1"/>
    <xf numFmtId="0" fontId="158" fillId="0" borderId="0" xfId="0" applyFont="1" applyAlignment="1">
      <alignment vertical="center"/>
    </xf>
    <xf numFmtId="0" fontId="158" fillId="0" borderId="0" xfId="0" applyFont="1"/>
    <xf numFmtId="0" fontId="148" fillId="0" borderId="0" xfId="0" applyFont="1" applyAlignment="1"/>
    <xf numFmtId="0" fontId="141" fillId="0" borderId="34" xfId="0" applyFont="1" applyBorder="1" applyAlignment="1">
      <alignment horizontal="center" vertical="center" wrapText="1"/>
    </xf>
    <xf numFmtId="0" fontId="128" fillId="54" borderId="0" xfId="0" applyFont="1" applyFill="1" applyAlignment="1">
      <alignment wrapText="1"/>
    </xf>
    <xf numFmtId="2" fontId="140" fillId="55" borderId="6" xfId="1991" applyNumberFormat="1" applyFont="1" applyFill="1" applyBorder="1" applyAlignment="1">
      <alignment horizontal="center" vertical="center" wrapText="1"/>
    </xf>
    <xf numFmtId="2" fontId="146" fillId="55" borderId="6" xfId="1991" applyNumberFormat="1" applyFont="1" applyFill="1" applyBorder="1" applyAlignment="1">
      <alignment horizontal="center" vertical="center" wrapText="1"/>
    </xf>
    <xf numFmtId="167" fontId="141" fillId="55" borderId="39" xfId="1991" applyFont="1" applyFill="1" applyBorder="1" applyAlignment="1">
      <alignment horizontal="center" vertical="center" wrapText="1"/>
    </xf>
    <xf numFmtId="4" fontId="140" fillId="55" borderId="31" xfId="1710" applyNumberFormat="1" applyFont="1" applyFill="1" applyBorder="1" applyAlignment="1">
      <alignment horizontal="center" vertical="center" wrapText="1"/>
    </xf>
    <xf numFmtId="4" fontId="141" fillId="55" borderId="6" xfId="0" applyNumberFormat="1" applyFont="1" applyFill="1" applyBorder="1" applyAlignment="1">
      <alignment horizontal="center" vertical="center" wrapText="1"/>
    </xf>
    <xf numFmtId="4" fontId="141" fillId="55" borderId="39" xfId="0" applyNumberFormat="1" applyFont="1" applyFill="1" applyBorder="1" applyAlignment="1">
      <alignment horizontal="center" vertical="center" wrapText="1"/>
    </xf>
    <xf numFmtId="2" fontId="140" fillId="55" borderId="6" xfId="1710" applyNumberFormat="1" applyFont="1" applyFill="1" applyBorder="1" applyAlignment="1">
      <alignment horizontal="center" vertical="center" wrapText="1"/>
    </xf>
    <xf numFmtId="167" fontId="140" fillId="55" borderId="6" xfId="1991" applyFont="1" applyFill="1" applyBorder="1" applyAlignment="1">
      <alignment horizontal="center" vertical="center" wrapText="1"/>
    </xf>
    <xf numFmtId="167" fontId="140" fillId="55" borderId="38" xfId="1991" applyFont="1" applyFill="1" applyBorder="1" applyAlignment="1">
      <alignment horizontal="center" vertical="center" wrapText="1"/>
    </xf>
    <xf numFmtId="167" fontId="140" fillId="55" borderId="39" xfId="1991" applyFont="1" applyFill="1" applyBorder="1" applyAlignment="1">
      <alignment horizontal="center" vertical="center" wrapText="1"/>
    </xf>
    <xf numFmtId="167" fontId="141" fillId="55" borderId="29" xfId="1991" applyFont="1" applyFill="1" applyBorder="1" applyAlignment="1">
      <alignment horizontal="center" vertical="center" wrapText="1"/>
    </xf>
    <xf numFmtId="167" fontId="146" fillId="55" borderId="6" xfId="1991" applyFont="1" applyFill="1" applyBorder="1" applyAlignment="1">
      <alignment horizontal="center" vertical="center" wrapText="1"/>
    </xf>
    <xf numFmtId="167" fontId="146" fillId="55" borderId="26" xfId="1991" applyFont="1" applyFill="1" applyBorder="1" applyAlignment="1">
      <alignment horizontal="center" vertical="center" wrapText="1"/>
    </xf>
    <xf numFmtId="167" fontId="140" fillId="55" borderId="29" xfId="1991" applyFont="1" applyFill="1" applyBorder="1" applyAlignment="1">
      <alignment horizontal="center" vertical="center" wrapText="1"/>
    </xf>
    <xf numFmtId="2" fontId="140" fillId="58" borderId="6" xfId="1991" applyNumberFormat="1" applyFont="1" applyFill="1" applyBorder="1" applyAlignment="1">
      <alignment horizontal="center" vertical="center" wrapText="1"/>
    </xf>
    <xf numFmtId="2" fontId="146" fillId="58" borderId="6" xfId="1991" applyNumberFormat="1" applyFont="1" applyFill="1" applyBorder="1" applyAlignment="1">
      <alignment horizontal="center" vertical="center" wrapText="1"/>
    </xf>
    <xf numFmtId="4" fontId="139" fillId="58" borderId="38" xfId="1710" applyNumberFormat="1" applyFont="1" applyFill="1" applyBorder="1" applyAlignment="1">
      <alignment horizontal="center" vertical="center" wrapText="1"/>
    </xf>
    <xf numFmtId="4" fontId="139" fillId="58" borderId="31" xfId="1710" applyNumberFormat="1" applyFont="1" applyFill="1" applyBorder="1" applyAlignment="1">
      <alignment horizontal="center" vertical="center" wrapText="1"/>
    </xf>
    <xf numFmtId="2" fontId="139" fillId="58" borderId="6" xfId="1710" applyNumberFormat="1" applyFont="1" applyFill="1" applyBorder="1" applyAlignment="1">
      <alignment horizontal="center" vertical="center" wrapText="1"/>
    </xf>
    <xf numFmtId="167" fontId="139" fillId="58" borderId="6" xfId="1991" applyFont="1" applyFill="1" applyBorder="1" applyAlignment="1">
      <alignment horizontal="center" vertical="center" wrapText="1"/>
    </xf>
    <xf numFmtId="167" fontId="139" fillId="58" borderId="38" xfId="1991" applyFont="1" applyFill="1" applyBorder="1" applyAlignment="1">
      <alignment horizontal="center" vertical="center" wrapText="1"/>
    </xf>
    <xf numFmtId="167" fontId="139" fillId="58" borderId="39" xfId="1991" applyFont="1" applyFill="1" applyBorder="1" applyAlignment="1">
      <alignment horizontal="center" vertical="center" wrapText="1"/>
    </xf>
    <xf numFmtId="167" fontId="140" fillId="58" borderId="6" xfId="1991" applyFont="1" applyFill="1" applyBorder="1" applyAlignment="1">
      <alignment horizontal="center" vertical="center" wrapText="1"/>
    </xf>
    <xf numFmtId="167" fontId="146" fillId="58" borderId="6" xfId="1991" applyFont="1" applyFill="1" applyBorder="1" applyAlignment="1">
      <alignment horizontal="center" vertical="center" wrapText="1"/>
    </xf>
    <xf numFmtId="167" fontId="140" fillId="58" borderId="39" xfId="1991" applyFont="1" applyFill="1" applyBorder="1" applyAlignment="1">
      <alignment horizontal="center" vertical="center" wrapText="1"/>
    </xf>
    <xf numFmtId="167" fontId="140" fillId="58" borderId="38" xfId="1991" applyFont="1" applyFill="1" applyBorder="1" applyAlignment="1">
      <alignment horizontal="center" vertical="center" wrapText="1"/>
    </xf>
    <xf numFmtId="167" fontId="141" fillId="59" borderId="38" xfId="1991" applyFont="1" applyFill="1" applyBorder="1" applyAlignment="1">
      <alignment horizontal="center" vertical="center" wrapText="1"/>
    </xf>
    <xf numFmtId="2" fontId="140" fillId="59" borderId="6" xfId="1991" applyNumberFormat="1" applyFont="1" applyFill="1" applyBorder="1" applyAlignment="1">
      <alignment horizontal="center" vertical="center" wrapText="1"/>
    </xf>
    <xf numFmtId="2" fontId="146" fillId="59" borderId="6" xfId="1991" applyNumberFormat="1" applyFont="1" applyFill="1" applyBorder="1" applyAlignment="1">
      <alignment horizontal="center" vertical="center" wrapText="1"/>
    </xf>
    <xf numFmtId="167" fontId="141" fillId="59" borderId="39" xfId="1991" applyFont="1" applyFill="1" applyBorder="1" applyAlignment="1">
      <alignment horizontal="center" vertical="center" wrapText="1"/>
    </xf>
    <xf numFmtId="4" fontId="139" fillId="59" borderId="31" xfId="1710" applyNumberFormat="1" applyFont="1" applyFill="1" applyBorder="1" applyAlignment="1">
      <alignment horizontal="center" vertical="center" wrapText="1"/>
    </xf>
    <xf numFmtId="4" fontId="138" fillId="59" borderId="6" xfId="0" applyNumberFormat="1" applyFont="1" applyFill="1" applyBorder="1" applyAlignment="1">
      <alignment horizontal="center" vertical="center" wrapText="1"/>
    </xf>
    <xf numFmtId="4" fontId="138" fillId="59" borderId="39" xfId="0" applyNumberFormat="1" applyFont="1" applyFill="1" applyBorder="1" applyAlignment="1">
      <alignment horizontal="center" vertical="center" wrapText="1"/>
    </xf>
    <xf numFmtId="167" fontId="138" fillId="59" borderId="38" xfId="1991" applyFont="1" applyFill="1" applyBorder="1" applyAlignment="1">
      <alignment horizontal="center" vertical="center" wrapText="1"/>
    </xf>
    <xf numFmtId="167" fontId="138" fillId="59" borderId="6" xfId="1991" applyFont="1" applyFill="1" applyBorder="1" applyAlignment="1">
      <alignment horizontal="center" vertical="center" wrapText="1"/>
    </xf>
    <xf numFmtId="2" fontId="139" fillId="59" borderId="6" xfId="1710" applyNumberFormat="1" applyFont="1" applyFill="1" applyBorder="1" applyAlignment="1">
      <alignment horizontal="center" vertical="center" wrapText="1"/>
    </xf>
    <xf numFmtId="167" fontId="138" fillId="59" borderId="39" xfId="1991" applyFont="1" applyFill="1" applyBorder="1" applyAlignment="1">
      <alignment horizontal="center" vertical="center" wrapText="1"/>
    </xf>
    <xf numFmtId="167" fontId="139" fillId="59" borderId="6" xfId="1991" applyFont="1" applyFill="1" applyBorder="1" applyAlignment="1">
      <alignment horizontal="center" vertical="center" wrapText="1"/>
    </xf>
    <xf numFmtId="167" fontId="139" fillId="59" borderId="39" xfId="1991" applyFont="1" applyFill="1" applyBorder="1" applyAlignment="1">
      <alignment horizontal="center" vertical="center" wrapText="1"/>
    </xf>
    <xf numFmtId="167" fontId="138" fillId="59" borderId="29" xfId="1991" applyFont="1" applyFill="1" applyBorder="1" applyAlignment="1">
      <alignment horizontal="center" vertical="center" wrapText="1"/>
    </xf>
    <xf numFmtId="167" fontId="141" fillId="59" borderId="26" xfId="1991" applyFont="1" applyFill="1" applyBorder="1" applyAlignment="1">
      <alignment horizontal="center" vertical="center" wrapText="1"/>
    </xf>
    <xf numFmtId="167" fontId="140" fillId="59" borderId="6" xfId="1991" applyFont="1" applyFill="1" applyBorder="1" applyAlignment="1">
      <alignment horizontal="center" vertical="center" wrapText="1"/>
    </xf>
    <xf numFmtId="167" fontId="146" fillId="59" borderId="6" xfId="1991" applyFont="1" applyFill="1" applyBorder="1" applyAlignment="1">
      <alignment horizontal="center" vertical="center" wrapText="1"/>
    </xf>
    <xf numFmtId="167" fontId="141" fillId="59" borderId="6" xfId="1991" applyFont="1" applyFill="1" applyBorder="1" applyAlignment="1">
      <alignment horizontal="center" vertical="center" wrapText="1"/>
    </xf>
    <xf numFmtId="167" fontId="140" fillId="59" borderId="39" xfId="1991" applyFont="1" applyFill="1" applyBorder="1" applyAlignment="1">
      <alignment horizontal="center" vertical="center" wrapText="1"/>
    </xf>
    <xf numFmtId="167" fontId="141" fillId="59" borderId="29" xfId="1991" applyFont="1" applyFill="1" applyBorder="1" applyAlignment="1">
      <alignment horizontal="center" vertical="center" wrapText="1"/>
    </xf>
    <xf numFmtId="167" fontId="140" fillId="59" borderId="38" xfId="1991" applyFont="1" applyFill="1" applyBorder="1" applyAlignment="1">
      <alignment horizontal="center" vertical="center" wrapText="1"/>
    </xf>
    <xf numFmtId="4" fontId="141" fillId="59" borderId="6" xfId="0" applyNumberFormat="1" applyFont="1" applyFill="1" applyBorder="1" applyAlignment="1">
      <alignment horizontal="center" vertical="center" wrapText="1"/>
    </xf>
    <xf numFmtId="4" fontId="140" fillId="59" borderId="31" xfId="1710" applyNumberFormat="1" applyFont="1" applyFill="1" applyBorder="1" applyAlignment="1">
      <alignment horizontal="center" vertical="center" wrapText="1"/>
    </xf>
    <xf numFmtId="4" fontId="141" fillId="59" borderId="39" xfId="0" applyNumberFormat="1" applyFont="1" applyFill="1" applyBorder="1" applyAlignment="1">
      <alignment horizontal="center" vertical="center" wrapText="1"/>
    </xf>
    <xf numFmtId="2" fontId="140" fillId="59" borderId="6" xfId="1710" applyNumberFormat="1" applyFont="1" applyFill="1" applyBorder="1" applyAlignment="1">
      <alignment horizontal="center" vertical="center" wrapText="1"/>
    </xf>
    <xf numFmtId="0" fontId="138" fillId="58" borderId="34" xfId="1710" applyFont="1" applyFill="1" applyBorder="1" applyAlignment="1">
      <alignment horizontal="center" vertical="center" wrapText="1"/>
    </xf>
    <xf numFmtId="4" fontId="144" fillId="58" borderId="38" xfId="1710" applyNumberFormat="1" applyFont="1" applyFill="1" applyBorder="1" applyAlignment="1">
      <alignment horizontal="center" vertical="center" wrapText="1"/>
    </xf>
    <xf numFmtId="4" fontId="139" fillId="58" borderId="6" xfId="1710" applyNumberFormat="1" applyFont="1" applyFill="1" applyBorder="1" applyAlignment="1">
      <alignment horizontal="center" vertical="center" wrapText="1"/>
    </xf>
    <xf numFmtId="4" fontId="139" fillId="58" borderId="39" xfId="1710" applyNumberFormat="1" applyFont="1" applyFill="1" applyBorder="1" applyAlignment="1">
      <alignment horizontal="center" vertical="center" wrapText="1"/>
    </xf>
    <xf numFmtId="167" fontId="139" fillId="58" borderId="38" xfId="1710" applyNumberFormat="1" applyFont="1" applyFill="1" applyBorder="1" applyAlignment="1">
      <alignment horizontal="center" vertical="center" wrapText="1"/>
    </xf>
    <xf numFmtId="167" fontId="139" fillId="58" borderId="6" xfId="1710" applyNumberFormat="1" applyFont="1" applyFill="1" applyBorder="1" applyAlignment="1">
      <alignment horizontal="center" vertical="center" wrapText="1"/>
    </xf>
    <xf numFmtId="2" fontId="139" fillId="58" borderId="39" xfId="1710" applyNumberFormat="1" applyFont="1" applyFill="1" applyBorder="1" applyAlignment="1">
      <alignment horizontal="center" vertical="center" wrapText="1"/>
    </xf>
    <xf numFmtId="167" fontId="142" fillId="58" borderId="6" xfId="1991" applyFont="1" applyFill="1" applyBorder="1" applyAlignment="1">
      <alignment horizontal="center" vertical="center" wrapText="1"/>
    </xf>
    <xf numFmtId="167" fontId="139" fillId="58" borderId="29" xfId="1991" applyFont="1" applyFill="1" applyBorder="1" applyAlignment="1">
      <alignment horizontal="center" vertical="center" wrapText="1"/>
    </xf>
    <xf numFmtId="167" fontId="140" fillId="58" borderId="26" xfId="1991" applyFont="1" applyFill="1" applyBorder="1" applyAlignment="1">
      <alignment horizontal="center" vertical="center" wrapText="1"/>
    </xf>
    <xf numFmtId="167" fontId="140" fillId="58" borderId="29" xfId="1991" applyFont="1" applyFill="1" applyBorder="1" applyAlignment="1">
      <alignment horizontal="center" vertical="center" wrapText="1"/>
    </xf>
    <xf numFmtId="0" fontId="137" fillId="0" borderId="12" xfId="0" applyFont="1" applyBorder="1" applyAlignment="1">
      <alignment vertical="center" wrapText="1"/>
    </xf>
    <xf numFmtId="0" fontId="141" fillId="0" borderId="34" xfId="0" applyFont="1" applyBorder="1" applyAlignment="1">
      <alignment horizontal="center" vertical="center" wrapText="1"/>
    </xf>
    <xf numFmtId="167" fontId="141" fillId="59" borderId="52" xfId="1991" applyFont="1" applyFill="1" applyBorder="1" applyAlignment="1">
      <alignment horizontal="center" vertical="center" wrapText="1"/>
    </xf>
    <xf numFmtId="167" fontId="141" fillId="59" borderId="43" xfId="1991" applyFont="1" applyFill="1" applyBorder="1" applyAlignment="1">
      <alignment horizontal="center" vertical="center" wrapText="1"/>
    </xf>
    <xf numFmtId="167" fontId="141" fillId="59" borderId="53" xfId="1991" applyFont="1" applyFill="1" applyBorder="1" applyAlignment="1">
      <alignment horizontal="center" vertical="center" wrapText="1"/>
    </xf>
    <xf numFmtId="4" fontId="141" fillId="59" borderId="43" xfId="0" applyNumberFormat="1" applyFont="1" applyFill="1" applyBorder="1" applyAlignment="1">
      <alignment horizontal="center" vertical="center" wrapText="1"/>
    </xf>
    <xf numFmtId="167" fontId="141" fillId="59" borderId="45" xfId="1991" applyFont="1" applyFill="1" applyBorder="1" applyAlignment="1">
      <alignment horizontal="center" vertical="center" wrapText="1"/>
    </xf>
    <xf numFmtId="167" fontId="140" fillId="59" borderId="45" xfId="1991" applyFont="1" applyFill="1" applyBorder="1" applyAlignment="1">
      <alignment horizontal="center" vertical="center" wrapText="1"/>
    </xf>
    <xf numFmtId="167" fontId="140" fillId="59" borderId="52" xfId="1991" applyFont="1" applyFill="1" applyBorder="1" applyAlignment="1">
      <alignment horizontal="center" vertical="center" wrapText="1"/>
    </xf>
    <xf numFmtId="167" fontId="140" fillId="59" borderId="53" xfId="1991" applyFont="1" applyFill="1" applyBorder="1" applyAlignment="1">
      <alignment horizontal="center" vertical="center" wrapText="1"/>
    </xf>
    <xf numFmtId="167" fontId="141" fillId="59" borderId="48" xfId="1991" applyFont="1" applyFill="1" applyBorder="1" applyAlignment="1">
      <alignment horizontal="center" vertical="center" wrapText="1"/>
    </xf>
    <xf numFmtId="167" fontId="139" fillId="58" borderId="26" xfId="1991" applyFont="1" applyFill="1" applyBorder="1" applyAlignment="1">
      <alignment horizontal="center" vertical="center" wrapText="1"/>
    </xf>
    <xf numFmtId="167" fontId="138" fillId="58" borderId="39" xfId="1991" applyFont="1" applyFill="1" applyBorder="1" applyAlignment="1">
      <alignment horizontal="center" vertical="center" wrapText="1"/>
    </xf>
    <xf numFmtId="167" fontId="142" fillId="59" borderId="6" xfId="1991" applyFont="1" applyFill="1" applyBorder="1" applyAlignment="1">
      <alignment horizontal="center" vertical="center" wrapText="1"/>
    </xf>
    <xf numFmtId="0" fontId="127" fillId="0" borderId="6" xfId="0" applyFont="1" applyBorder="1" applyAlignment="1">
      <alignment vertical="center" wrapText="1"/>
    </xf>
    <xf numFmtId="0" fontId="127" fillId="0" borderId="6" xfId="0" applyFont="1" applyBorder="1" applyAlignment="1">
      <alignment horizontal="center" vertical="center"/>
    </xf>
    <xf numFmtId="2" fontId="127" fillId="0" borderId="6" xfId="0" applyNumberFormat="1" applyFont="1" applyBorder="1" applyAlignment="1">
      <alignment horizontal="center" vertical="center"/>
    </xf>
    <xf numFmtId="167" fontId="139" fillId="58" borderId="39" xfId="1991" applyNumberFormat="1" applyFont="1" applyFill="1" applyBorder="1" applyAlignment="1">
      <alignment horizontal="center" vertical="center" wrapText="1"/>
    </xf>
    <xf numFmtId="167" fontId="141" fillId="55" borderId="39" xfId="1991" applyNumberFormat="1" applyFont="1" applyFill="1" applyBorder="1" applyAlignment="1">
      <alignment horizontal="center" vertical="center" wrapText="1"/>
    </xf>
    <xf numFmtId="167" fontId="138" fillId="59" borderId="39" xfId="1991" applyNumberFormat="1" applyFont="1" applyFill="1" applyBorder="1" applyAlignment="1">
      <alignment horizontal="center" vertical="center" wrapText="1"/>
    </xf>
    <xf numFmtId="167" fontId="141" fillId="59" borderId="39" xfId="1991" applyNumberFormat="1" applyFont="1" applyFill="1" applyBorder="1" applyAlignment="1">
      <alignment horizontal="center" vertical="center" wrapText="1"/>
    </xf>
    <xf numFmtId="0" fontId="127" fillId="0" borderId="6" xfId="0" applyFont="1" applyFill="1" applyBorder="1" applyAlignment="1">
      <alignment horizontal="center" vertical="center"/>
    </xf>
    <xf numFmtId="0" fontId="158" fillId="0" borderId="0" xfId="0" applyFont="1" applyAlignment="1">
      <alignment vertical="center" wrapText="1"/>
    </xf>
    <xf numFmtId="0" fontId="152" fillId="0" borderId="6" xfId="0" applyFont="1" applyBorder="1" applyAlignment="1">
      <alignment horizontal="left" vertical="center" wrapText="1"/>
    </xf>
    <xf numFmtId="0" fontId="148" fillId="0" borderId="6" xfId="0" applyFont="1" applyBorder="1" applyAlignment="1">
      <alignment horizontal="left" vertical="center" wrapText="1"/>
    </xf>
    <xf numFmtId="0" fontId="127" fillId="0" borderId="6" xfId="0" applyFont="1" applyBorder="1" applyAlignment="1">
      <alignment vertical="center"/>
    </xf>
    <xf numFmtId="0" fontId="152" fillId="0" borderId="6" xfId="0" applyFont="1" applyFill="1" applyBorder="1" applyAlignment="1">
      <alignment horizontal="left" vertical="center" wrapText="1"/>
    </xf>
    <xf numFmtId="211" fontId="141" fillId="55" borderId="6" xfId="1991" applyNumberFormat="1" applyFont="1" applyFill="1" applyBorder="1" applyAlignment="1">
      <alignment horizontal="center" vertical="center" wrapText="1"/>
    </xf>
    <xf numFmtId="43" fontId="160" fillId="0" borderId="0" xfId="0" applyNumberFormat="1" applyFont="1" applyAlignment="1">
      <alignment wrapText="1"/>
    </xf>
    <xf numFmtId="2" fontId="140" fillId="54" borderId="6" xfId="1991" applyNumberFormat="1" applyFont="1" applyFill="1" applyBorder="1" applyAlignment="1">
      <alignment horizontal="center" vertical="center" wrapText="1"/>
    </xf>
    <xf numFmtId="2" fontId="146" fillId="54" borderId="6" xfId="1991" applyNumberFormat="1" applyFont="1" applyFill="1" applyBorder="1" applyAlignment="1">
      <alignment horizontal="center" vertical="center" wrapText="1"/>
    </xf>
    <xf numFmtId="167" fontId="139" fillId="54" borderId="6" xfId="1991" applyFont="1" applyFill="1" applyBorder="1" applyAlignment="1">
      <alignment horizontal="center" vertical="center" wrapText="1"/>
    </xf>
    <xf numFmtId="167" fontId="142" fillId="54" borderId="6" xfId="1991" applyFont="1" applyFill="1" applyBorder="1" applyAlignment="1">
      <alignment horizontal="center" vertical="center" wrapText="1"/>
    </xf>
    <xf numFmtId="167" fontId="141" fillId="54" borderId="6" xfId="1991" applyFont="1" applyFill="1" applyBorder="1" applyAlignment="1">
      <alignment horizontal="center" vertical="center" wrapText="1"/>
    </xf>
    <xf numFmtId="0" fontId="134" fillId="0" borderId="0" xfId="0" applyFont="1" applyAlignment="1">
      <alignment wrapText="1"/>
    </xf>
    <xf numFmtId="0" fontId="138" fillId="54" borderId="35" xfId="0" applyFont="1" applyFill="1" applyBorder="1" applyAlignment="1">
      <alignment horizontal="center" vertical="center" wrapText="1"/>
    </xf>
    <xf numFmtId="2" fontId="140" fillId="59" borderId="45" xfId="1991" applyNumberFormat="1" applyFont="1" applyFill="1" applyBorder="1" applyAlignment="1">
      <alignment horizontal="center" vertical="center" wrapText="1"/>
    </xf>
    <xf numFmtId="2" fontId="146" fillId="59" borderId="45" xfId="1991" applyNumberFormat="1" applyFont="1" applyFill="1" applyBorder="1" applyAlignment="1">
      <alignment horizontal="center" vertical="center" wrapText="1"/>
    </xf>
    <xf numFmtId="4" fontId="141" fillId="59" borderId="53" xfId="0" applyNumberFormat="1" applyFont="1" applyFill="1" applyBorder="1" applyAlignment="1">
      <alignment horizontal="center" vertical="center" wrapText="1"/>
    </xf>
    <xf numFmtId="167" fontId="146" fillId="59" borderId="45" xfId="1991" applyFont="1" applyFill="1" applyBorder="1" applyAlignment="1">
      <alignment horizontal="center" vertical="center" wrapText="1"/>
    </xf>
    <xf numFmtId="167" fontId="141" fillId="59" borderId="53" xfId="1991" applyNumberFormat="1" applyFont="1" applyFill="1" applyBorder="1" applyAlignment="1">
      <alignment horizontal="center" vertical="center" wrapText="1"/>
    </xf>
    <xf numFmtId="4" fontId="139" fillId="54" borderId="6" xfId="0" applyNumberFormat="1" applyFont="1" applyFill="1" applyBorder="1" applyAlignment="1">
      <alignment horizontal="center" vertical="center"/>
    </xf>
    <xf numFmtId="4" fontId="139" fillId="54" borderId="6" xfId="1710" applyNumberFormat="1" applyFont="1" applyFill="1" applyBorder="1" applyAlignment="1">
      <alignment horizontal="center" vertical="center" wrapText="1"/>
    </xf>
    <xf numFmtId="4" fontId="138" fillId="54" borderId="6" xfId="0" applyNumberFormat="1" applyFont="1" applyFill="1" applyBorder="1" applyAlignment="1">
      <alignment horizontal="center" vertical="center" wrapText="1"/>
    </xf>
    <xf numFmtId="167" fontId="138" fillId="54" borderId="6" xfId="1991" applyFont="1" applyFill="1" applyBorder="1" applyAlignment="1">
      <alignment horizontal="center" vertical="center" wrapText="1"/>
    </xf>
    <xf numFmtId="2" fontId="139" fillId="54" borderId="6" xfId="1710" applyNumberFormat="1" applyFont="1" applyFill="1" applyBorder="1" applyAlignment="1">
      <alignment horizontal="center" vertical="center" wrapText="1"/>
    </xf>
    <xf numFmtId="167" fontId="138" fillId="54" borderId="6" xfId="1991" applyNumberFormat="1" applyFont="1" applyFill="1" applyBorder="1" applyAlignment="1">
      <alignment horizontal="center" vertical="center" wrapText="1"/>
    </xf>
    <xf numFmtId="0" fontId="159" fillId="0" borderId="6" xfId="0" applyNumberFormat="1" applyFont="1" applyBorder="1" applyAlignment="1">
      <alignment wrapText="1"/>
    </xf>
    <xf numFmtId="43" fontId="159" fillId="0" borderId="6" xfId="0" applyNumberFormat="1" applyFont="1" applyBorder="1" applyAlignment="1">
      <alignment wrapText="1"/>
    </xf>
    <xf numFmtId="0" fontId="161" fillId="0" borderId="0" xfId="0" applyFont="1" applyAlignment="1">
      <alignment vertical="top" wrapText="1"/>
    </xf>
    <xf numFmtId="0" fontId="161" fillId="0" borderId="0" xfId="0" applyFont="1" applyAlignment="1">
      <alignment wrapText="1"/>
    </xf>
    <xf numFmtId="0" fontId="141" fillId="55" borderId="34" xfId="0" applyFont="1" applyFill="1" applyBorder="1" applyAlignment="1">
      <alignment horizontal="left" vertical="center" wrapText="1"/>
    </xf>
    <xf numFmtId="4" fontId="143" fillId="55" borderId="38" xfId="0" applyNumberFormat="1" applyFont="1" applyFill="1" applyBorder="1" applyAlignment="1">
      <alignment horizontal="left" vertical="center"/>
    </xf>
    <xf numFmtId="2" fontId="146" fillId="55" borderId="6" xfId="1991" applyNumberFormat="1" applyFont="1" applyFill="1" applyBorder="1" applyAlignment="1">
      <alignment horizontal="left" vertical="center" wrapText="1"/>
    </xf>
    <xf numFmtId="167" fontId="141" fillId="55" borderId="39" xfId="1991" applyFont="1" applyFill="1" applyBorder="1" applyAlignment="1">
      <alignment horizontal="left" vertical="center" wrapText="1"/>
    </xf>
    <xf numFmtId="4" fontId="140" fillId="55" borderId="38" xfId="0" applyNumberFormat="1" applyFont="1" applyFill="1" applyBorder="1" applyAlignment="1">
      <alignment horizontal="left" vertical="center"/>
    </xf>
    <xf numFmtId="0" fontId="147" fillId="57" borderId="34" xfId="0" applyFont="1" applyFill="1" applyBorder="1" applyAlignment="1">
      <alignment horizontal="left" vertical="center" wrapText="1"/>
    </xf>
    <xf numFmtId="4" fontId="139" fillId="55" borderId="38" xfId="0" applyNumberFormat="1" applyFont="1" applyFill="1" applyBorder="1" applyAlignment="1">
      <alignment horizontal="left" vertical="center"/>
    </xf>
    <xf numFmtId="167" fontId="141" fillId="59" borderId="38" xfId="1991" applyFont="1" applyFill="1" applyBorder="1" applyAlignment="1">
      <alignment horizontal="left" vertical="center" wrapText="1"/>
    </xf>
    <xf numFmtId="2" fontId="146" fillId="59" borderId="6" xfId="1991" applyNumberFormat="1" applyFont="1" applyFill="1" applyBorder="1" applyAlignment="1">
      <alignment horizontal="left" vertical="center" wrapText="1"/>
    </xf>
    <xf numFmtId="167" fontId="141" fillId="59" borderId="39" xfId="1991" applyFont="1" applyFill="1" applyBorder="1" applyAlignment="1">
      <alignment horizontal="left" vertical="center" wrapText="1"/>
    </xf>
    <xf numFmtId="0" fontId="141" fillId="0" borderId="34" xfId="0" applyFont="1" applyBorder="1" applyAlignment="1">
      <alignment horizontal="left" vertical="center" wrapText="1"/>
    </xf>
    <xf numFmtId="4" fontId="141" fillId="0" borderId="38" xfId="0" applyNumberFormat="1" applyFont="1" applyBorder="1" applyAlignment="1">
      <alignment horizontal="left" vertical="center" wrapText="1"/>
    </xf>
    <xf numFmtId="167" fontId="141" fillId="59" borderId="6" xfId="1991" applyFont="1" applyFill="1" applyBorder="1" applyAlignment="1">
      <alignment horizontal="left" vertical="center" wrapText="1"/>
    </xf>
    <xf numFmtId="0" fontId="141" fillId="0" borderId="54" xfId="0" applyFont="1" applyBorder="1" applyAlignment="1">
      <alignment horizontal="left" vertical="center" wrapText="1"/>
    </xf>
    <xf numFmtId="4" fontId="141" fillId="0" borderId="52" xfId="0" applyNumberFormat="1" applyFont="1" applyBorder="1" applyAlignment="1">
      <alignment horizontal="left" vertical="center" wrapText="1"/>
    </xf>
    <xf numFmtId="167" fontId="141" fillId="59" borderId="52" xfId="1991" applyFont="1" applyFill="1" applyBorder="1" applyAlignment="1">
      <alignment horizontal="left" vertical="center" wrapText="1"/>
    </xf>
    <xf numFmtId="167" fontId="141" fillId="59" borderId="43" xfId="1991" applyFont="1" applyFill="1" applyBorder="1" applyAlignment="1">
      <alignment horizontal="left" vertical="center" wrapText="1"/>
    </xf>
    <xf numFmtId="2" fontId="146" fillId="59" borderId="45" xfId="1991" applyNumberFormat="1" applyFont="1" applyFill="1" applyBorder="1" applyAlignment="1">
      <alignment horizontal="left" vertical="center" wrapText="1"/>
    </xf>
    <xf numFmtId="167" fontId="141" fillId="59" borderId="53" xfId="1991" applyFont="1" applyFill="1" applyBorder="1" applyAlignment="1">
      <alignment horizontal="left" vertical="center" wrapText="1"/>
    </xf>
    <xf numFmtId="0" fontId="147" fillId="54" borderId="6" xfId="0" applyFont="1" applyFill="1" applyBorder="1" applyAlignment="1">
      <alignment horizontal="left" vertical="center" wrapText="1"/>
    </xf>
    <xf numFmtId="4" fontId="144" fillId="54" borderId="6" xfId="0" applyNumberFormat="1" applyFont="1" applyFill="1" applyBorder="1" applyAlignment="1">
      <alignment horizontal="left" vertical="center"/>
    </xf>
    <xf numFmtId="167" fontId="141" fillId="54" borderId="6" xfId="1991" applyFont="1" applyFill="1" applyBorder="1" applyAlignment="1">
      <alignment horizontal="left" vertical="center" wrapText="1"/>
    </xf>
    <xf numFmtId="2" fontId="146" fillId="54" borderId="6" xfId="1991" applyNumberFormat="1" applyFont="1" applyFill="1" applyBorder="1" applyAlignment="1">
      <alignment horizontal="left" vertical="center" wrapText="1"/>
    </xf>
    <xf numFmtId="0" fontId="128" fillId="0" borderId="0" xfId="0" applyFont="1" applyAlignment="1">
      <alignment horizontal="center" wrapText="1"/>
    </xf>
    <xf numFmtId="0" fontId="161" fillId="0" borderId="0" xfId="0" applyFont="1" applyAlignment="1">
      <alignment horizontal="center" wrapText="1"/>
    </xf>
    <xf numFmtId="211" fontId="141" fillId="59" borderId="39" xfId="1991" applyNumberFormat="1" applyFont="1" applyFill="1" applyBorder="1" applyAlignment="1">
      <alignment horizontal="center" vertical="center" wrapText="1"/>
    </xf>
    <xf numFmtId="167" fontId="140" fillId="59" borderId="43" xfId="1991" applyFont="1" applyFill="1" applyBorder="1" applyAlignment="1">
      <alignment horizontal="center" vertical="center" wrapText="1"/>
    </xf>
    <xf numFmtId="0" fontId="156" fillId="0" borderId="12" xfId="0" applyFont="1" applyBorder="1" applyAlignment="1">
      <alignment horizontal="center" vertical="center" wrapText="1"/>
    </xf>
    <xf numFmtId="4" fontId="140" fillId="55" borderId="6" xfId="0" applyNumberFormat="1" applyFont="1" applyFill="1" applyBorder="1" applyAlignment="1">
      <alignment horizontal="center" vertical="center" wrapText="1"/>
    </xf>
    <xf numFmtId="4" fontId="140" fillId="59" borderId="6" xfId="0" applyNumberFormat="1" applyFont="1" applyFill="1" applyBorder="1" applyAlignment="1">
      <alignment horizontal="center" vertical="center" wrapText="1"/>
    </xf>
    <xf numFmtId="2" fontId="163" fillId="55" borderId="6" xfId="0" applyNumberFormat="1" applyFont="1" applyFill="1" applyBorder="1" applyAlignment="1">
      <alignment horizontal="center" vertical="center"/>
    </xf>
    <xf numFmtId="2" fontId="164" fillId="0" borderId="6" xfId="0" applyNumberFormat="1" applyFont="1" applyBorder="1" applyAlignment="1">
      <alignment horizontal="center" vertical="center"/>
    </xf>
    <xf numFmtId="0" fontId="165" fillId="0" borderId="6" xfId="0" applyFont="1" applyBorder="1" applyAlignment="1">
      <alignment horizontal="left" vertical="center" wrapText="1"/>
    </xf>
    <xf numFmtId="167" fontId="166" fillId="54" borderId="6" xfId="1991" applyFont="1" applyFill="1" applyBorder="1" applyAlignment="1">
      <alignment vertical="center" wrapText="1"/>
    </xf>
    <xf numFmtId="167" fontId="164" fillId="0" borderId="6" xfId="1991" applyFont="1" applyFill="1" applyBorder="1" applyAlignment="1">
      <alignment horizontal="center" vertical="center"/>
    </xf>
    <xf numFmtId="0" fontId="156" fillId="0" borderId="0" xfId="0" applyFont="1" applyBorder="1" applyAlignment="1">
      <alignment horizontal="center" vertical="center" wrapText="1"/>
    </xf>
    <xf numFmtId="0" fontId="137" fillId="0" borderId="0" xfId="0" applyFont="1" applyBorder="1" applyAlignment="1">
      <alignment vertical="center" wrapText="1"/>
    </xf>
    <xf numFmtId="167" fontId="167" fillId="55" borderId="6" xfId="1991" applyFont="1" applyFill="1" applyBorder="1" applyAlignment="1">
      <alignment horizontal="center" vertical="center" wrapText="1"/>
    </xf>
    <xf numFmtId="167" fontId="167" fillId="55" borderId="38" xfId="1991" applyFont="1" applyFill="1" applyBorder="1" applyAlignment="1">
      <alignment horizontal="center" vertical="center" wrapText="1"/>
    </xf>
    <xf numFmtId="167" fontId="140" fillId="55" borderId="26" xfId="1991" applyFont="1" applyFill="1" applyBorder="1" applyAlignment="1">
      <alignment horizontal="center" vertical="center" wrapText="1"/>
    </xf>
    <xf numFmtId="43" fontId="168" fillId="0" borderId="0" xfId="0" applyNumberFormat="1" applyFont="1" applyAlignment="1">
      <alignment wrapText="1"/>
    </xf>
    <xf numFmtId="185" fontId="172" fillId="55" borderId="6" xfId="0" applyNumberFormat="1" applyFont="1" applyFill="1" applyBorder="1" applyAlignment="1">
      <alignment horizontal="center" vertical="center"/>
    </xf>
    <xf numFmtId="167" fontId="159" fillId="54" borderId="6" xfId="1991" applyFont="1" applyFill="1" applyBorder="1" applyAlignment="1">
      <alignment horizontal="center" vertical="center" wrapText="1"/>
    </xf>
    <xf numFmtId="167" fontId="138" fillId="57" borderId="39" xfId="1991" applyFont="1" applyFill="1" applyBorder="1" applyAlignment="1">
      <alignment horizontal="center" vertical="center" wrapText="1"/>
    </xf>
    <xf numFmtId="167" fontId="138" fillId="57" borderId="38" xfId="1991" applyFont="1" applyFill="1" applyBorder="1" applyAlignment="1">
      <alignment horizontal="center" vertical="center" wrapText="1"/>
    </xf>
    <xf numFmtId="167" fontId="138" fillId="57" borderId="26" xfId="1991" applyFont="1" applyFill="1" applyBorder="1" applyAlignment="1">
      <alignment horizontal="center" vertical="center" wrapText="1"/>
    </xf>
    <xf numFmtId="167" fontId="139" fillId="57" borderId="38" xfId="1991" applyFont="1" applyFill="1" applyBorder="1" applyAlignment="1">
      <alignment horizontal="center" vertical="center" wrapText="1"/>
    </xf>
    <xf numFmtId="167" fontId="173" fillId="59" borderId="38" xfId="1991" applyFont="1" applyFill="1" applyBorder="1" applyAlignment="1">
      <alignment horizontal="center" vertical="center" wrapText="1"/>
    </xf>
    <xf numFmtId="167" fontId="173" fillId="59" borderId="26" xfId="1991" applyFont="1" applyFill="1" applyBorder="1" applyAlignment="1">
      <alignment horizontal="center" vertical="center" wrapText="1"/>
    </xf>
    <xf numFmtId="4" fontId="174" fillId="59" borderId="39" xfId="0" applyNumberFormat="1" applyFont="1" applyFill="1" applyBorder="1" applyAlignment="1">
      <alignment horizontal="center" vertical="center" wrapText="1"/>
    </xf>
    <xf numFmtId="167" fontId="174" fillId="59" borderId="39" xfId="1991" applyFont="1" applyFill="1" applyBorder="1" applyAlignment="1">
      <alignment horizontal="center" vertical="center" wrapText="1"/>
    </xf>
    <xf numFmtId="4" fontId="139" fillId="61" borderId="31" xfId="1710" applyNumberFormat="1" applyFont="1" applyFill="1" applyBorder="1" applyAlignment="1">
      <alignment horizontal="center" vertical="center" wrapText="1"/>
    </xf>
    <xf numFmtId="4" fontId="139" fillId="61" borderId="45" xfId="1710" applyNumberFormat="1" applyFont="1" applyFill="1" applyBorder="1" applyAlignment="1">
      <alignment horizontal="center" vertical="center" wrapText="1"/>
    </xf>
    <xf numFmtId="2" fontId="139" fillId="61" borderId="6" xfId="1710" applyNumberFormat="1" applyFont="1" applyFill="1" applyBorder="1" applyAlignment="1">
      <alignment horizontal="center" vertical="center" wrapText="1"/>
    </xf>
    <xf numFmtId="2" fontId="140" fillId="61" borderId="45" xfId="1710" applyNumberFormat="1" applyFont="1" applyFill="1" applyBorder="1" applyAlignment="1">
      <alignment horizontal="center" vertical="center" wrapText="1"/>
    </xf>
    <xf numFmtId="167" fontId="139" fillId="61" borderId="6" xfId="1991" applyFont="1" applyFill="1" applyBorder="1" applyAlignment="1">
      <alignment horizontal="center" vertical="center" wrapText="1"/>
    </xf>
    <xf numFmtId="167" fontId="139" fillId="61" borderId="45" xfId="1991" applyFont="1" applyFill="1" applyBorder="1" applyAlignment="1">
      <alignment horizontal="center" vertical="center" wrapText="1"/>
    </xf>
    <xf numFmtId="167" fontId="143" fillId="59" borderId="39" xfId="1991" applyFont="1" applyFill="1" applyBorder="1" applyAlignment="1">
      <alignment horizontal="center" vertical="center" wrapText="1"/>
    </xf>
    <xf numFmtId="212" fontId="141" fillId="55" borderId="39" xfId="1991" applyNumberFormat="1" applyFont="1" applyFill="1" applyBorder="1" applyAlignment="1">
      <alignment horizontal="center" vertical="center" wrapText="1"/>
    </xf>
    <xf numFmtId="211" fontId="139" fillId="58" borderId="39" xfId="1991" applyNumberFormat="1" applyFont="1" applyFill="1" applyBorder="1" applyAlignment="1">
      <alignment horizontal="center" vertical="center" wrapText="1"/>
    </xf>
    <xf numFmtId="167" fontId="143" fillId="59" borderId="29" xfId="1991" applyFont="1" applyFill="1" applyBorder="1" applyAlignment="1">
      <alignment horizontal="center" vertical="center" wrapText="1"/>
    </xf>
    <xf numFmtId="167" fontId="175" fillId="59" borderId="39" xfId="1991" applyNumberFormat="1" applyFont="1" applyFill="1" applyBorder="1" applyAlignment="1">
      <alignment horizontal="center" vertical="center" wrapText="1"/>
    </xf>
    <xf numFmtId="167" fontId="175" fillId="59" borderId="39" xfId="1991" applyFont="1" applyFill="1" applyBorder="1" applyAlignment="1">
      <alignment horizontal="center" vertical="center" wrapText="1"/>
    </xf>
    <xf numFmtId="213" fontId="127" fillId="0" borderId="6" xfId="0" applyNumberFormat="1" applyFont="1" applyBorder="1" applyAlignment="1">
      <alignment vertical="center"/>
    </xf>
    <xf numFmtId="185" fontId="131" fillId="55" borderId="6" xfId="0" applyNumberFormat="1" applyFont="1" applyFill="1" applyBorder="1" applyAlignment="1">
      <alignment horizontal="center" vertical="center"/>
    </xf>
    <xf numFmtId="204" fontId="127" fillId="0" borderId="6" xfId="0" applyNumberFormat="1" applyFont="1" applyBorder="1" applyAlignment="1">
      <alignment horizontal="center" vertical="center"/>
    </xf>
    <xf numFmtId="167" fontId="176" fillId="0" borderId="6" xfId="1991" applyFont="1" applyBorder="1" applyAlignment="1">
      <alignment horizontal="center" vertical="center"/>
    </xf>
    <xf numFmtId="167" fontId="139" fillId="57" borderId="6" xfId="1991" applyFont="1" applyFill="1" applyBorder="1" applyAlignment="1">
      <alignment horizontal="center" vertical="center" wrapText="1"/>
    </xf>
    <xf numFmtId="167" fontId="138" fillId="57" borderId="6" xfId="1991" applyFont="1" applyFill="1" applyBorder="1" applyAlignment="1">
      <alignment horizontal="center" vertical="center" wrapText="1"/>
    </xf>
    <xf numFmtId="0" fontId="177" fillId="0" borderId="0" xfId="0" applyFont="1" applyBorder="1"/>
    <xf numFmtId="167" fontId="178" fillId="59" borderId="43" xfId="1991" applyFont="1" applyFill="1" applyBorder="1" applyAlignment="1">
      <alignment horizontal="center" vertical="center" wrapText="1"/>
    </xf>
    <xf numFmtId="167" fontId="178" fillId="59" borderId="45" xfId="1991" applyFont="1" applyFill="1" applyBorder="1" applyAlignment="1">
      <alignment horizontal="center" vertical="center" wrapText="1"/>
    </xf>
    <xf numFmtId="0" fontId="179" fillId="0" borderId="34" xfId="0" applyFont="1" applyBorder="1" applyAlignment="1">
      <alignment horizontal="left" vertical="center" wrapText="1"/>
    </xf>
    <xf numFmtId="0" fontId="179" fillId="0" borderId="34" xfId="0" applyFont="1" applyBorder="1" applyAlignment="1">
      <alignment horizontal="left" vertical="top" wrapText="1"/>
    </xf>
    <xf numFmtId="167" fontId="151" fillId="0" borderId="6" xfId="1991" applyFont="1" applyFill="1" applyBorder="1" applyAlignment="1">
      <alignment vertical="center" wrapText="1"/>
    </xf>
    <xf numFmtId="0" fontId="0" fillId="0" borderId="6" xfId="0" applyBorder="1"/>
    <xf numFmtId="167" fontId="180" fillId="54" borderId="6" xfId="1991" applyFont="1" applyFill="1" applyBorder="1" applyAlignment="1">
      <alignment vertical="center" wrapText="1"/>
    </xf>
    <xf numFmtId="167" fontId="180" fillId="0" borderId="6" xfId="1991" applyFont="1" applyFill="1" applyBorder="1" applyAlignment="1">
      <alignment vertical="center" wrapText="1"/>
    </xf>
    <xf numFmtId="167" fontId="181" fillId="54" borderId="6" xfId="1991" applyFont="1" applyFill="1" applyBorder="1" applyAlignment="1">
      <alignment vertical="center" wrapText="1"/>
    </xf>
    <xf numFmtId="43" fontId="148" fillId="0" borderId="6" xfId="0" applyNumberFormat="1" applyFont="1" applyBorder="1" applyAlignment="1">
      <alignment vertical="center"/>
    </xf>
    <xf numFmtId="0" fontId="125" fillId="0" borderId="0" xfId="0" applyFont="1" applyBorder="1" applyAlignment="1">
      <alignment horizontal="right" wrapText="1"/>
    </xf>
    <xf numFmtId="0" fontId="127" fillId="0" borderId="0" xfId="0" applyFont="1" applyAlignment="1">
      <alignment horizontal="right" vertical="center" wrapText="1"/>
    </xf>
    <xf numFmtId="0" fontId="125" fillId="0" borderId="16" xfId="0" applyFont="1" applyBorder="1" applyAlignment="1">
      <alignment horizontal="right" wrapText="1"/>
    </xf>
    <xf numFmtId="0" fontId="134" fillId="0" borderId="16" xfId="0" applyFont="1" applyBorder="1" applyAlignment="1">
      <alignment horizontal="center" wrapText="1"/>
    </xf>
    <xf numFmtId="0" fontId="125" fillId="0" borderId="0" xfId="0" applyFont="1" applyAlignment="1">
      <alignment wrapText="1"/>
    </xf>
    <xf numFmtId="0" fontId="0" fillId="0" borderId="0" xfId="0" applyAlignment="1">
      <alignment wrapText="1"/>
    </xf>
    <xf numFmtId="0" fontId="125" fillId="0" borderId="29" xfId="0" applyFont="1" applyBorder="1" applyAlignment="1">
      <alignment horizontal="center" vertical="center" wrapText="1"/>
    </xf>
    <xf numFmtId="0" fontId="125" fillId="0" borderId="30" xfId="0" applyFont="1" applyBorder="1" applyAlignment="1">
      <alignment horizontal="center" vertical="center" wrapText="1"/>
    </xf>
    <xf numFmtId="0" fontId="125" fillId="0" borderId="26" xfId="0" applyFont="1" applyBorder="1" applyAlignment="1">
      <alignment horizontal="center" vertical="center" wrapText="1"/>
    </xf>
    <xf numFmtId="0" fontId="137" fillId="0" borderId="16" xfId="0" applyFont="1" applyBorder="1" applyAlignment="1">
      <alignment horizontal="center" vertical="center" wrapText="1"/>
    </xf>
    <xf numFmtId="0" fontId="125" fillId="0" borderId="6" xfId="0" applyFont="1" applyBorder="1" applyAlignment="1">
      <alignment horizontal="center" vertical="center" wrapText="1"/>
    </xf>
    <xf numFmtId="0" fontId="155" fillId="0" borderId="0" xfId="0" applyFont="1" applyAlignment="1">
      <alignment horizontal="left" vertical="top" wrapText="1"/>
    </xf>
    <xf numFmtId="167" fontId="139" fillId="57" borderId="25" xfId="1991" applyFont="1" applyFill="1" applyBorder="1" applyAlignment="1">
      <alignment horizontal="center" vertical="center" wrapText="1"/>
    </xf>
    <xf numFmtId="167" fontId="139" fillId="57" borderId="36" xfId="1991" applyFont="1" applyFill="1" applyBorder="1" applyAlignment="1">
      <alignment horizontal="center" vertical="center" wrapText="1"/>
    </xf>
    <xf numFmtId="167" fontId="139" fillId="57" borderId="46" xfId="1991" applyFont="1" applyFill="1" applyBorder="1" applyAlignment="1">
      <alignment horizontal="center" vertical="center" wrapText="1"/>
    </xf>
    <xf numFmtId="0" fontId="138" fillId="57" borderId="25" xfId="0" applyFont="1" applyFill="1" applyBorder="1" applyAlignment="1">
      <alignment horizontal="center" vertical="center" wrapText="1"/>
    </xf>
    <xf numFmtId="0" fontId="138" fillId="57" borderId="36" xfId="0" applyFont="1" applyFill="1" applyBorder="1" applyAlignment="1">
      <alignment horizontal="center" vertical="center" wrapText="1"/>
    </xf>
    <xf numFmtId="0" fontId="138" fillId="57" borderId="37" xfId="0" applyFont="1" applyFill="1" applyBorder="1" applyAlignment="1">
      <alignment horizontal="center" vertical="center" wrapText="1"/>
    </xf>
    <xf numFmtId="0" fontId="139" fillId="62" borderId="25" xfId="0" applyFont="1" applyFill="1" applyBorder="1" applyAlignment="1">
      <alignment horizontal="center" vertical="center" wrapText="1"/>
    </xf>
    <xf numFmtId="0" fontId="145" fillId="62" borderId="36" xfId="0" applyFont="1" applyFill="1" applyBorder="1" applyAlignment="1">
      <alignment horizontal="center" vertical="center" wrapText="1"/>
    </xf>
    <xf numFmtId="0" fontId="145" fillId="62" borderId="37" xfId="0" applyFont="1" applyFill="1" applyBorder="1" applyAlignment="1">
      <alignment horizontal="center" vertical="center" wrapText="1"/>
    </xf>
    <xf numFmtId="167" fontId="138" fillId="54" borderId="49" xfId="1991" applyFont="1" applyFill="1" applyBorder="1" applyAlignment="1">
      <alignment horizontal="center" vertical="center" wrapText="1"/>
    </xf>
    <xf numFmtId="167" fontId="138" fillId="54" borderId="50" xfId="1991" applyFont="1" applyFill="1" applyBorder="1" applyAlignment="1">
      <alignment horizontal="center" vertical="center" wrapText="1"/>
    </xf>
    <xf numFmtId="167" fontId="138" fillId="54" borderId="51" xfId="1991" applyFont="1" applyFill="1" applyBorder="1" applyAlignment="1">
      <alignment horizontal="center" vertical="center" wrapText="1"/>
    </xf>
    <xf numFmtId="0" fontId="138" fillId="57" borderId="40" xfId="0" applyFont="1" applyFill="1" applyBorder="1" applyAlignment="1">
      <alignment horizontal="center" vertical="center" wrapText="1"/>
    </xf>
    <xf numFmtId="0" fontId="138" fillId="57" borderId="41" xfId="0" applyFont="1" applyFill="1" applyBorder="1" applyAlignment="1">
      <alignment horizontal="center" vertical="center" wrapText="1"/>
    </xf>
    <xf numFmtId="0" fontId="138" fillId="57" borderId="42" xfId="0" applyFont="1" applyFill="1" applyBorder="1" applyAlignment="1">
      <alignment horizontal="center" vertical="center" wrapText="1"/>
    </xf>
    <xf numFmtId="0" fontId="138" fillId="54" borderId="25" xfId="0" applyFont="1" applyFill="1" applyBorder="1" applyAlignment="1">
      <alignment horizontal="center" vertical="center" wrapText="1"/>
    </xf>
    <xf numFmtId="0" fontId="138" fillId="54" borderId="47" xfId="0" applyFont="1" applyFill="1" applyBorder="1" applyAlignment="1">
      <alignment horizontal="center" vertical="center" wrapText="1"/>
    </xf>
    <xf numFmtId="0" fontId="138" fillId="54" borderId="36" xfId="0" applyFont="1" applyFill="1" applyBorder="1" applyAlignment="1">
      <alignment horizontal="center" vertical="center" wrapText="1"/>
    </xf>
    <xf numFmtId="0" fontId="138" fillId="54" borderId="37" xfId="0" applyFont="1" applyFill="1" applyBorder="1" applyAlignment="1">
      <alignment horizontal="center" vertical="center" wrapText="1"/>
    </xf>
    <xf numFmtId="0" fontId="159" fillId="60" borderId="6" xfId="0" applyNumberFormat="1" applyFont="1" applyFill="1" applyBorder="1" applyAlignment="1">
      <alignment horizontal="left" wrapText="1"/>
    </xf>
    <xf numFmtId="167" fontId="138" fillId="57" borderId="25" xfId="1991" applyFont="1" applyFill="1" applyBorder="1" applyAlignment="1">
      <alignment horizontal="center" vertical="center" wrapText="1"/>
    </xf>
    <xf numFmtId="167" fontId="138" fillId="57" borderId="36" xfId="1991" applyFont="1" applyFill="1" applyBorder="1" applyAlignment="1">
      <alignment horizontal="center" vertical="center" wrapText="1"/>
    </xf>
    <xf numFmtId="167" fontId="138" fillId="57" borderId="37" xfId="1991" applyFont="1" applyFill="1" applyBorder="1" applyAlignment="1">
      <alignment horizontal="center" vertical="center" wrapText="1"/>
    </xf>
    <xf numFmtId="0" fontId="156" fillId="0" borderId="12" xfId="0" applyFont="1" applyBorder="1" applyAlignment="1">
      <alignment horizontal="center" vertical="center" wrapText="1"/>
    </xf>
    <xf numFmtId="0" fontId="157" fillId="0" borderId="0" xfId="0" applyFont="1" applyAlignment="1">
      <alignment horizontal="center" wrapText="1"/>
    </xf>
    <xf numFmtId="0" fontId="141" fillId="0" borderId="34" xfId="0" applyFont="1" applyBorder="1" applyAlignment="1">
      <alignment horizontal="center" vertical="center" wrapText="1"/>
    </xf>
    <xf numFmtId="0" fontId="141" fillId="54" borderId="34" xfId="1710" applyFont="1" applyFill="1" applyBorder="1" applyAlignment="1">
      <alignment horizontal="center" vertical="center" wrapText="1"/>
    </xf>
    <xf numFmtId="167" fontId="138" fillId="54" borderId="25" xfId="1991" applyFont="1" applyFill="1" applyBorder="1" applyAlignment="1">
      <alignment horizontal="center" vertical="center" wrapText="1"/>
    </xf>
    <xf numFmtId="167" fontId="138" fillId="54" borderId="36" xfId="1991" applyFont="1" applyFill="1" applyBorder="1" applyAlignment="1">
      <alignment horizontal="center" vertical="center" wrapText="1"/>
    </xf>
    <xf numFmtId="167" fontId="138" fillId="54" borderId="37" xfId="1991" applyFont="1" applyFill="1" applyBorder="1" applyAlignment="1">
      <alignment horizontal="center" vertical="center" wrapText="1"/>
    </xf>
    <xf numFmtId="167" fontId="141" fillId="54" borderId="25" xfId="1991" applyFont="1" applyFill="1" applyBorder="1" applyAlignment="1">
      <alignment horizontal="center" vertical="center" wrapText="1"/>
    </xf>
    <xf numFmtId="167" fontId="141" fillId="54" borderId="36" xfId="1991" applyFont="1" applyFill="1" applyBorder="1" applyAlignment="1">
      <alignment horizontal="center" vertical="center" wrapText="1"/>
    </xf>
    <xf numFmtId="167" fontId="141" fillId="54" borderId="37" xfId="1991" applyFont="1" applyFill="1" applyBorder="1" applyAlignment="1">
      <alignment horizontal="center" vertical="center" wrapText="1"/>
    </xf>
    <xf numFmtId="167" fontId="138" fillId="57" borderId="47" xfId="1991" applyFont="1" applyFill="1" applyBorder="1" applyAlignment="1">
      <alignment horizontal="center" vertical="center" wrapText="1"/>
    </xf>
    <xf numFmtId="167" fontId="141" fillId="0" borderId="25" xfId="1991" applyFont="1" applyFill="1" applyBorder="1" applyAlignment="1">
      <alignment horizontal="center" vertical="center" wrapText="1"/>
    </xf>
    <xf numFmtId="167" fontId="141" fillId="0" borderId="36" xfId="1991" applyFont="1" applyFill="1" applyBorder="1" applyAlignment="1">
      <alignment horizontal="center" vertical="center" wrapText="1"/>
    </xf>
    <xf numFmtId="167" fontId="141" fillId="0" borderId="37" xfId="1991" applyFont="1" applyFill="1" applyBorder="1" applyAlignment="1">
      <alignment horizontal="center" vertical="center" wrapText="1"/>
    </xf>
    <xf numFmtId="167" fontId="139" fillId="60" borderId="40" xfId="1991" applyFont="1" applyFill="1" applyBorder="1" applyAlignment="1">
      <alignment horizontal="center" vertical="center" wrapText="1"/>
    </xf>
    <xf numFmtId="167" fontId="139" fillId="60" borderId="41" xfId="1991" applyFont="1" applyFill="1" applyBorder="1" applyAlignment="1">
      <alignment horizontal="center" vertical="center" wrapText="1"/>
    </xf>
    <xf numFmtId="167" fontId="139" fillId="60" borderId="42" xfId="1991" applyFont="1" applyFill="1" applyBorder="1" applyAlignment="1">
      <alignment horizontal="center" vertical="center" wrapText="1"/>
    </xf>
    <xf numFmtId="0" fontId="15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52" fillId="0" borderId="6" xfId="0" applyFont="1" applyBorder="1" applyAlignment="1">
      <alignment horizontal="center" vertical="center"/>
    </xf>
    <xf numFmtId="0" fontId="151" fillId="57" borderId="6" xfId="0" applyFont="1" applyFill="1" applyBorder="1" applyAlignment="1">
      <alignment horizontal="center" vertical="center" wrapText="1"/>
    </xf>
    <xf numFmtId="0" fontId="137" fillId="0" borderId="0" xfId="0" applyFont="1" applyAlignment="1">
      <alignment horizontal="right" vertical="center"/>
    </xf>
    <xf numFmtId="0" fontId="159" fillId="0" borderId="0" xfId="0" applyFont="1" applyAlignment="1">
      <alignment horizontal="right"/>
    </xf>
    <xf numFmtId="0" fontId="134" fillId="0" borderId="16" xfId="0" applyFont="1" applyBorder="1" applyAlignment="1">
      <alignment horizontal="center" vertical="center" wrapText="1"/>
    </xf>
    <xf numFmtId="0" fontId="156" fillId="0" borderId="0" xfId="0" applyFont="1" applyAlignment="1">
      <alignment horizontal="right" vertical="center"/>
    </xf>
    <xf numFmtId="0" fontId="134" fillId="0" borderId="31" xfId="0" applyFont="1" applyBorder="1" applyAlignment="1">
      <alignment horizontal="center" vertical="center" wrapText="1"/>
    </xf>
    <xf numFmtId="0" fontId="15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7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16" xfId="0" applyBorder="1" applyAlignment="1">
      <alignment horizontal="center" wrapText="1"/>
    </xf>
    <xf numFmtId="0" fontId="12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25" fillId="0" borderId="0" xfId="0" applyFont="1" applyAlignment="1">
      <alignment horizontal="center" wrapText="1"/>
    </xf>
    <xf numFmtId="0" fontId="134" fillId="0" borderId="29" xfId="0" applyFont="1" applyBorder="1" applyAlignment="1">
      <alignment horizontal="center" vertical="center" wrapText="1"/>
    </xf>
    <xf numFmtId="0" fontId="134" fillId="0" borderId="30" xfId="0" applyFont="1" applyBorder="1" applyAlignment="1">
      <alignment horizontal="center" vertical="center" wrapText="1"/>
    </xf>
    <xf numFmtId="0" fontId="134" fillId="0" borderId="26" xfId="0" applyFont="1" applyBorder="1" applyAlignment="1">
      <alignment horizontal="center" vertical="center" wrapText="1"/>
    </xf>
    <xf numFmtId="0" fontId="151" fillId="57" borderId="27" xfId="0" applyFont="1" applyFill="1" applyBorder="1" applyAlignment="1">
      <alignment horizontal="center" vertical="center" wrapText="1"/>
    </xf>
    <xf numFmtId="0" fontId="151" fillId="57" borderId="43" xfId="0" applyFont="1" applyFill="1" applyBorder="1" applyAlignment="1">
      <alignment horizontal="center" vertical="center" wrapText="1"/>
    </xf>
    <xf numFmtId="0" fontId="151" fillId="57" borderId="16" xfId="0" applyFont="1" applyFill="1" applyBorder="1" applyAlignment="1">
      <alignment horizontal="center" vertical="center" wrapText="1"/>
    </xf>
    <xf numFmtId="0" fontId="151" fillId="57" borderId="44" xfId="0" applyFont="1" applyFill="1" applyBorder="1" applyAlignment="1">
      <alignment horizontal="center" vertical="center" wrapText="1"/>
    </xf>
    <xf numFmtId="0" fontId="149" fillId="0" borderId="45" xfId="0" applyFont="1" applyBorder="1" applyAlignment="1">
      <alignment horizontal="center" vertical="center"/>
    </xf>
    <xf numFmtId="0" fontId="149" fillId="0" borderId="1" xfId="0" applyFont="1" applyBorder="1" applyAlignment="1">
      <alignment horizontal="center" vertical="center"/>
    </xf>
    <xf numFmtId="0" fontId="149" fillId="0" borderId="28" xfId="0" applyFont="1" applyBorder="1" applyAlignment="1">
      <alignment horizontal="center" vertical="center"/>
    </xf>
    <xf numFmtId="0" fontId="15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1" fillId="57" borderId="48" xfId="0" applyFont="1" applyFill="1" applyBorder="1" applyAlignment="1">
      <alignment horizontal="center" vertical="center" wrapText="1"/>
    </xf>
    <xf numFmtId="0" fontId="151" fillId="57" borderId="31" xfId="0" applyFont="1" applyFill="1" applyBorder="1" applyAlignment="1">
      <alignment horizontal="center" vertical="center" wrapText="1"/>
    </xf>
    <xf numFmtId="0" fontId="155" fillId="0" borderId="0" xfId="0" applyFont="1" applyAlignment="1">
      <alignment horizontal="center"/>
    </xf>
    <xf numFmtId="2" fontId="140" fillId="63" borderId="6" xfId="1991" applyNumberFormat="1" applyFont="1" applyFill="1" applyBorder="1" applyAlignment="1">
      <alignment horizontal="center" vertical="center" wrapText="1"/>
    </xf>
  </cellXfs>
  <cellStyles count="1992">
    <cellStyle name=" 1" xfId="1"/>
    <cellStyle name=" 1 2" xfId="2"/>
    <cellStyle name=" 1_Stage1" xfId="3"/>
    <cellStyle name="_x000a_bidires=100_x000d_" xfId="4"/>
    <cellStyle name="%" xfId="5"/>
    <cellStyle name="%_Inputs" xfId="6"/>
    <cellStyle name="%_Inputs (const)" xfId="7"/>
    <cellStyle name="%_Inputs Co" xfId="8"/>
    <cellStyle name="?…?ж?Ш?и [0.00]" xfId="9"/>
    <cellStyle name="?W??_‘O’с?р??" xfId="10"/>
    <cellStyle name="_CashFlow_2007_проект_02_02_final" xfId="11"/>
    <cellStyle name="_Model_RAB Мой" xfId="12"/>
    <cellStyle name="_Model_RAB Мой 2" xfId="13"/>
    <cellStyle name="_Model_RAB Мой 2_OREP.KU.2011.MONTHLY.02(v0.1)" xfId="14"/>
    <cellStyle name="_Model_RAB Мой 2_OREP.KU.2011.MONTHLY.02(v0.4)" xfId="15"/>
    <cellStyle name="_Model_RAB Мой 2_OREP.KU.2011.MONTHLY.11(v1.4)" xfId="16"/>
    <cellStyle name="_Model_RAB Мой 2_UPDATE.OREP.KU.2011.MONTHLY.02.TO.1.2" xfId="17"/>
    <cellStyle name="_Model_RAB Мой_46EE.2011(v1.0)" xfId="18"/>
    <cellStyle name="_Model_RAB Мой_46EE.2011(v1.0)_46TE.2011(v1.0)" xfId="19"/>
    <cellStyle name="_Model_RAB Мой_46EE.2011(v1.0)_INDEX.STATION.2012(v1.0)_" xfId="20"/>
    <cellStyle name="_Model_RAB Мой_46EE.2011(v1.0)_INDEX.STATION.2012(v2.0)" xfId="21"/>
    <cellStyle name="_Model_RAB Мой_46EE.2011(v1.0)_INDEX.STATION.2012(v2.1)" xfId="22"/>
    <cellStyle name="_Model_RAB Мой_46EE.2011(v1.0)_TEPLO.PREDEL.2012.M(v1.1)_test" xfId="23"/>
    <cellStyle name="_Model_RAB Мой_46EE.2011(v1.2)" xfId="24"/>
    <cellStyle name="_Model_RAB Мой_46EP.2012(v0.1)" xfId="25"/>
    <cellStyle name="_Model_RAB Мой_46TE.2011(v1.0)" xfId="26"/>
    <cellStyle name="_Model_RAB Мой_ARMRAZR" xfId="27"/>
    <cellStyle name="_Model_RAB Мой_BALANCE.WARM.2010.FACT(v1.0)" xfId="28"/>
    <cellStyle name="_Model_RAB Мой_BALANCE.WARM.2010.PLAN" xfId="29"/>
    <cellStyle name="_Model_RAB Мой_BALANCE.WARM.2011YEAR(v0.7)" xfId="30"/>
    <cellStyle name="_Model_RAB Мой_BALANCE.WARM.2011YEAR.NEW.UPDATE.SCHEME" xfId="31"/>
    <cellStyle name="_Model_RAB Мой_EE.2REK.P2011.4.78(v0.3)" xfId="32"/>
    <cellStyle name="_Model_RAB Мой_FORM910.2012(v1.1)" xfId="33"/>
    <cellStyle name="_Model_RAB Мой_INVEST.EE.PLAN.4.78(v0.1)" xfId="34"/>
    <cellStyle name="_Model_RAB Мой_INVEST.EE.PLAN.4.78(v0.3)" xfId="35"/>
    <cellStyle name="_Model_RAB Мой_INVEST.EE.PLAN.4.78(v1.0)" xfId="36"/>
    <cellStyle name="_Model_RAB Мой_INVEST.PLAN.4.78(v0.1)" xfId="37"/>
    <cellStyle name="_Model_RAB Мой_INVEST.WARM.PLAN.4.78(v0.1)" xfId="38"/>
    <cellStyle name="_Model_RAB Мой_INVEST_WARM_PLAN" xfId="39"/>
    <cellStyle name="_Model_RAB Мой_NADB.JNVLS.APTEKA.2011(v1.3.3)" xfId="40"/>
    <cellStyle name="_Model_RAB Мой_NADB.JNVLS.APTEKA.2011(v1.3.3)_46TE.2011(v1.0)" xfId="41"/>
    <cellStyle name="_Model_RAB Мой_NADB.JNVLS.APTEKA.2011(v1.3.3)_INDEX.STATION.2012(v1.0)_" xfId="42"/>
    <cellStyle name="_Model_RAB Мой_NADB.JNVLS.APTEKA.2011(v1.3.3)_INDEX.STATION.2012(v2.0)" xfId="43"/>
    <cellStyle name="_Model_RAB Мой_NADB.JNVLS.APTEKA.2011(v1.3.3)_INDEX.STATION.2012(v2.1)" xfId="44"/>
    <cellStyle name="_Model_RAB Мой_NADB.JNVLS.APTEKA.2011(v1.3.3)_TEPLO.PREDEL.2012.M(v1.1)_test" xfId="45"/>
    <cellStyle name="_Model_RAB Мой_NADB.JNVLS.APTEKA.2011(v1.3.4)" xfId="46"/>
    <cellStyle name="_Model_RAB Мой_NADB.JNVLS.APTEKA.2011(v1.3.4)_46TE.2011(v1.0)" xfId="47"/>
    <cellStyle name="_Model_RAB Мой_NADB.JNVLS.APTEKA.2011(v1.3.4)_INDEX.STATION.2012(v1.0)_" xfId="48"/>
    <cellStyle name="_Model_RAB Мой_NADB.JNVLS.APTEKA.2011(v1.3.4)_INDEX.STATION.2012(v2.0)" xfId="49"/>
    <cellStyle name="_Model_RAB Мой_NADB.JNVLS.APTEKA.2011(v1.3.4)_INDEX.STATION.2012(v2.1)" xfId="50"/>
    <cellStyle name="_Model_RAB Мой_NADB.JNVLS.APTEKA.2011(v1.3.4)_TEPLO.PREDEL.2012.M(v1.1)_test" xfId="51"/>
    <cellStyle name="_Model_RAB Мой_PASSPORT.TEPLO.PROIZV(v2.1)" xfId="52"/>
    <cellStyle name="_Model_RAB Мой_PR.PROG.WARM.NOTCOMBI.2012.2.16_v1.4(04.04.11) " xfId="53"/>
    <cellStyle name="_Model_RAB Мой_PREDEL.JKH.UTV.2011(v1.0.1)" xfId="54"/>
    <cellStyle name="_Model_RAB Мой_PREDEL.JKH.UTV.2011(v1.0.1)_46TE.2011(v1.0)" xfId="55"/>
    <cellStyle name="_Model_RAB Мой_PREDEL.JKH.UTV.2011(v1.0.1)_INDEX.STATION.2012(v1.0)_" xfId="56"/>
    <cellStyle name="_Model_RAB Мой_PREDEL.JKH.UTV.2011(v1.0.1)_INDEX.STATION.2012(v2.0)" xfId="57"/>
    <cellStyle name="_Model_RAB Мой_PREDEL.JKH.UTV.2011(v1.0.1)_INDEX.STATION.2012(v2.1)" xfId="58"/>
    <cellStyle name="_Model_RAB Мой_PREDEL.JKH.UTV.2011(v1.0.1)_TEPLO.PREDEL.2012.M(v1.1)_test" xfId="59"/>
    <cellStyle name="_Model_RAB Мой_PREDEL.JKH.UTV.2011(v1.1)" xfId="60"/>
    <cellStyle name="_Model_RAB Мой_REP.BLR.2012(v1.0)" xfId="61"/>
    <cellStyle name="_Model_RAB Мой_TEPLO.PREDEL.2012.M(v1.1)" xfId="62"/>
    <cellStyle name="_Model_RAB Мой_TEST.TEMPLATE" xfId="63"/>
    <cellStyle name="_Model_RAB Мой_UPDATE.46EE.2011.TO.1.1" xfId="64"/>
    <cellStyle name="_Model_RAB Мой_UPDATE.46TE.2011.TO.1.1" xfId="65"/>
    <cellStyle name="_Model_RAB Мой_UPDATE.46TE.2011.TO.1.2" xfId="66"/>
    <cellStyle name="_Model_RAB Мой_UPDATE.BALANCE.WARM.2011YEAR.TO.1.1" xfId="67"/>
    <cellStyle name="_Model_RAB Мой_UPDATE.BALANCE.WARM.2011YEAR.TO.1.1_46TE.2011(v1.0)" xfId="68"/>
    <cellStyle name="_Model_RAB Мой_UPDATE.BALANCE.WARM.2011YEAR.TO.1.1_INDEX.STATION.2012(v1.0)_" xfId="69"/>
    <cellStyle name="_Model_RAB Мой_UPDATE.BALANCE.WARM.2011YEAR.TO.1.1_INDEX.STATION.2012(v2.0)" xfId="70"/>
    <cellStyle name="_Model_RAB Мой_UPDATE.BALANCE.WARM.2011YEAR.TO.1.1_INDEX.STATION.2012(v2.1)" xfId="71"/>
    <cellStyle name="_Model_RAB Мой_UPDATE.BALANCE.WARM.2011YEAR.TO.1.1_OREP.KU.2011.MONTHLY.02(v1.1)" xfId="72"/>
    <cellStyle name="_Model_RAB Мой_UPDATE.BALANCE.WARM.2011YEAR.TO.1.1_TEPLO.PREDEL.2012.M(v1.1)_test" xfId="73"/>
    <cellStyle name="_Model_RAB Мой_UPDATE.NADB.JNVLS.APTEKA.2011.TO.1.3.4" xfId="74"/>
    <cellStyle name="_Model_RAB Мой_Книга2_PR.PROG.WARM.NOTCOMBI.2012.2.16_v1.4(04.04.11) " xfId="75"/>
    <cellStyle name="_Model_RAB_MRSK_svod" xfId="76"/>
    <cellStyle name="_Model_RAB_MRSK_svod 2" xfId="77"/>
    <cellStyle name="_Model_RAB_MRSK_svod 2_OREP.KU.2011.MONTHLY.02(v0.1)" xfId="78"/>
    <cellStyle name="_Model_RAB_MRSK_svod 2_OREP.KU.2011.MONTHLY.02(v0.4)" xfId="79"/>
    <cellStyle name="_Model_RAB_MRSK_svod 2_OREP.KU.2011.MONTHLY.11(v1.4)" xfId="80"/>
    <cellStyle name="_Model_RAB_MRSK_svod 2_UPDATE.OREP.KU.2011.MONTHLY.02.TO.1.2" xfId="81"/>
    <cellStyle name="_Model_RAB_MRSK_svod_46EE.2011(v1.0)" xfId="82"/>
    <cellStyle name="_Model_RAB_MRSK_svod_46EE.2011(v1.0)_46TE.2011(v1.0)" xfId="83"/>
    <cellStyle name="_Model_RAB_MRSK_svod_46EE.2011(v1.0)_INDEX.STATION.2012(v1.0)_" xfId="84"/>
    <cellStyle name="_Model_RAB_MRSK_svod_46EE.2011(v1.0)_INDEX.STATION.2012(v2.0)" xfId="85"/>
    <cellStyle name="_Model_RAB_MRSK_svod_46EE.2011(v1.0)_INDEX.STATION.2012(v2.1)" xfId="86"/>
    <cellStyle name="_Model_RAB_MRSK_svod_46EE.2011(v1.0)_TEPLO.PREDEL.2012.M(v1.1)_test" xfId="87"/>
    <cellStyle name="_Model_RAB_MRSK_svod_46EE.2011(v1.2)" xfId="88"/>
    <cellStyle name="_Model_RAB_MRSK_svod_46EP.2012(v0.1)" xfId="89"/>
    <cellStyle name="_Model_RAB_MRSK_svod_46TE.2011(v1.0)" xfId="90"/>
    <cellStyle name="_Model_RAB_MRSK_svod_ARMRAZR" xfId="91"/>
    <cellStyle name="_Model_RAB_MRSK_svod_BALANCE.WARM.2010.FACT(v1.0)" xfId="92"/>
    <cellStyle name="_Model_RAB_MRSK_svod_BALANCE.WARM.2010.PLAN" xfId="93"/>
    <cellStyle name="_Model_RAB_MRSK_svod_BALANCE.WARM.2011YEAR(v0.7)" xfId="94"/>
    <cellStyle name="_Model_RAB_MRSK_svod_BALANCE.WARM.2011YEAR.NEW.UPDATE.SCHEME" xfId="95"/>
    <cellStyle name="_Model_RAB_MRSK_svod_EE.2REK.P2011.4.78(v0.3)" xfId="96"/>
    <cellStyle name="_Model_RAB_MRSK_svod_FORM910.2012(v1.1)" xfId="97"/>
    <cellStyle name="_Model_RAB_MRSK_svod_INVEST.EE.PLAN.4.78(v0.1)" xfId="98"/>
    <cellStyle name="_Model_RAB_MRSK_svod_INVEST.EE.PLAN.4.78(v0.3)" xfId="99"/>
    <cellStyle name="_Model_RAB_MRSK_svod_INVEST.EE.PLAN.4.78(v1.0)" xfId="100"/>
    <cellStyle name="_Model_RAB_MRSK_svod_INVEST.PLAN.4.78(v0.1)" xfId="101"/>
    <cellStyle name="_Model_RAB_MRSK_svod_INVEST.WARM.PLAN.4.78(v0.1)" xfId="102"/>
    <cellStyle name="_Model_RAB_MRSK_svod_INVEST_WARM_PLAN" xfId="103"/>
    <cellStyle name="_Model_RAB_MRSK_svod_NADB.JNVLS.APTEKA.2011(v1.3.3)" xfId="104"/>
    <cellStyle name="_Model_RAB_MRSK_svod_NADB.JNVLS.APTEKA.2011(v1.3.3)_46TE.2011(v1.0)" xfId="105"/>
    <cellStyle name="_Model_RAB_MRSK_svod_NADB.JNVLS.APTEKA.2011(v1.3.3)_INDEX.STATION.2012(v1.0)_" xfId="106"/>
    <cellStyle name="_Model_RAB_MRSK_svod_NADB.JNVLS.APTEKA.2011(v1.3.3)_INDEX.STATION.2012(v2.0)" xfId="107"/>
    <cellStyle name="_Model_RAB_MRSK_svod_NADB.JNVLS.APTEKA.2011(v1.3.3)_INDEX.STATION.2012(v2.1)" xfId="108"/>
    <cellStyle name="_Model_RAB_MRSK_svod_NADB.JNVLS.APTEKA.2011(v1.3.3)_TEPLO.PREDEL.2012.M(v1.1)_test" xfId="109"/>
    <cellStyle name="_Model_RAB_MRSK_svod_NADB.JNVLS.APTEKA.2011(v1.3.4)" xfId="110"/>
    <cellStyle name="_Model_RAB_MRSK_svod_NADB.JNVLS.APTEKA.2011(v1.3.4)_46TE.2011(v1.0)" xfId="111"/>
    <cellStyle name="_Model_RAB_MRSK_svod_NADB.JNVLS.APTEKA.2011(v1.3.4)_INDEX.STATION.2012(v1.0)_" xfId="112"/>
    <cellStyle name="_Model_RAB_MRSK_svod_NADB.JNVLS.APTEKA.2011(v1.3.4)_INDEX.STATION.2012(v2.0)" xfId="113"/>
    <cellStyle name="_Model_RAB_MRSK_svod_NADB.JNVLS.APTEKA.2011(v1.3.4)_INDEX.STATION.2012(v2.1)" xfId="114"/>
    <cellStyle name="_Model_RAB_MRSK_svod_NADB.JNVLS.APTEKA.2011(v1.3.4)_TEPLO.PREDEL.2012.M(v1.1)_test" xfId="115"/>
    <cellStyle name="_Model_RAB_MRSK_svod_PASSPORT.TEPLO.PROIZV(v2.1)" xfId="116"/>
    <cellStyle name="_Model_RAB_MRSK_svod_PR.PROG.WARM.NOTCOMBI.2012.2.16_v1.4(04.04.11) " xfId="117"/>
    <cellStyle name="_Model_RAB_MRSK_svod_PREDEL.JKH.UTV.2011(v1.0.1)" xfId="118"/>
    <cellStyle name="_Model_RAB_MRSK_svod_PREDEL.JKH.UTV.2011(v1.0.1)_46TE.2011(v1.0)" xfId="119"/>
    <cellStyle name="_Model_RAB_MRSK_svod_PREDEL.JKH.UTV.2011(v1.0.1)_INDEX.STATION.2012(v1.0)_" xfId="120"/>
    <cellStyle name="_Model_RAB_MRSK_svod_PREDEL.JKH.UTV.2011(v1.0.1)_INDEX.STATION.2012(v2.0)" xfId="121"/>
    <cellStyle name="_Model_RAB_MRSK_svod_PREDEL.JKH.UTV.2011(v1.0.1)_INDEX.STATION.2012(v2.1)" xfId="122"/>
    <cellStyle name="_Model_RAB_MRSK_svod_PREDEL.JKH.UTV.2011(v1.0.1)_TEPLO.PREDEL.2012.M(v1.1)_test" xfId="123"/>
    <cellStyle name="_Model_RAB_MRSK_svod_PREDEL.JKH.UTV.2011(v1.1)" xfId="124"/>
    <cellStyle name="_Model_RAB_MRSK_svod_REP.BLR.2012(v1.0)" xfId="125"/>
    <cellStyle name="_Model_RAB_MRSK_svod_TEPLO.PREDEL.2012.M(v1.1)" xfId="126"/>
    <cellStyle name="_Model_RAB_MRSK_svod_TEST.TEMPLATE" xfId="127"/>
    <cellStyle name="_Model_RAB_MRSK_svod_UPDATE.46EE.2011.TO.1.1" xfId="128"/>
    <cellStyle name="_Model_RAB_MRSK_svod_UPDATE.46TE.2011.TO.1.1" xfId="129"/>
    <cellStyle name="_Model_RAB_MRSK_svod_UPDATE.46TE.2011.TO.1.2" xfId="130"/>
    <cellStyle name="_Model_RAB_MRSK_svod_UPDATE.BALANCE.WARM.2011YEAR.TO.1.1" xfId="131"/>
    <cellStyle name="_Model_RAB_MRSK_svod_UPDATE.BALANCE.WARM.2011YEAR.TO.1.1_46TE.2011(v1.0)" xfId="132"/>
    <cellStyle name="_Model_RAB_MRSK_svod_UPDATE.BALANCE.WARM.2011YEAR.TO.1.1_INDEX.STATION.2012(v1.0)_" xfId="133"/>
    <cellStyle name="_Model_RAB_MRSK_svod_UPDATE.BALANCE.WARM.2011YEAR.TO.1.1_INDEX.STATION.2012(v2.0)" xfId="134"/>
    <cellStyle name="_Model_RAB_MRSK_svod_UPDATE.BALANCE.WARM.2011YEAR.TO.1.1_INDEX.STATION.2012(v2.1)" xfId="135"/>
    <cellStyle name="_Model_RAB_MRSK_svod_UPDATE.BALANCE.WARM.2011YEAR.TO.1.1_OREP.KU.2011.MONTHLY.02(v1.1)" xfId="136"/>
    <cellStyle name="_Model_RAB_MRSK_svod_UPDATE.BALANCE.WARM.2011YEAR.TO.1.1_TEPLO.PREDEL.2012.M(v1.1)_test" xfId="137"/>
    <cellStyle name="_Model_RAB_MRSK_svod_UPDATE.NADB.JNVLS.APTEKA.2011.TO.1.3.4" xfId="138"/>
    <cellStyle name="_Model_RAB_MRSK_svod_Книга2_PR.PROG.WARM.NOTCOMBI.2012.2.16_v1.4(04.04.11) " xfId="139"/>
    <cellStyle name="_Plug" xfId="140"/>
    <cellStyle name="_Бюджет2006_ПОКАЗАТЕЛИ СВОДНЫЕ" xfId="141"/>
    <cellStyle name="_ВО ОП ТЭС-ОТ- 2007" xfId="142"/>
    <cellStyle name="_ВО ОП ТЭС-ОТ- 2007_Новая инструкция1_фст" xfId="143"/>
    <cellStyle name="_ВФ ОАО ТЭС-ОТ- 2009" xfId="144"/>
    <cellStyle name="_ВФ ОАО ТЭС-ОТ- 2009_Новая инструкция1_фст" xfId="145"/>
    <cellStyle name="_выручка по присоединениям2" xfId="146"/>
    <cellStyle name="_выручка по присоединениям2_Новая инструкция1_фст" xfId="147"/>
    <cellStyle name="_Договор аренды ЯЭ с разбивкой" xfId="148"/>
    <cellStyle name="_Договор аренды ЯЭ с разбивкой_Новая инструкция1_фст" xfId="149"/>
    <cellStyle name="_Защита ФЗП" xfId="150"/>
    <cellStyle name="_Исходные данные для модели" xfId="151"/>
    <cellStyle name="_Исходные данные для модели_Новая инструкция1_фст" xfId="152"/>
    <cellStyle name="_Консолидация-2008-проект-new" xfId="153"/>
    <cellStyle name="_МОДЕЛЬ_1 (2)" xfId="154"/>
    <cellStyle name="_МОДЕЛЬ_1 (2) 2" xfId="155"/>
    <cellStyle name="_МОДЕЛЬ_1 (2) 2_OREP.KU.2011.MONTHLY.02(v0.1)" xfId="156"/>
    <cellStyle name="_МОДЕЛЬ_1 (2) 2_OREP.KU.2011.MONTHLY.02(v0.4)" xfId="157"/>
    <cellStyle name="_МОДЕЛЬ_1 (2) 2_OREP.KU.2011.MONTHLY.11(v1.4)" xfId="158"/>
    <cellStyle name="_МОДЕЛЬ_1 (2) 2_UPDATE.OREP.KU.2011.MONTHLY.02.TO.1.2" xfId="159"/>
    <cellStyle name="_МОДЕЛЬ_1 (2)_46EE.2011(v1.0)" xfId="160"/>
    <cellStyle name="_МОДЕЛЬ_1 (2)_46EE.2011(v1.0)_46TE.2011(v1.0)" xfId="161"/>
    <cellStyle name="_МОДЕЛЬ_1 (2)_46EE.2011(v1.0)_INDEX.STATION.2012(v1.0)_" xfId="162"/>
    <cellStyle name="_МОДЕЛЬ_1 (2)_46EE.2011(v1.0)_INDEX.STATION.2012(v2.0)" xfId="163"/>
    <cellStyle name="_МОДЕЛЬ_1 (2)_46EE.2011(v1.0)_INDEX.STATION.2012(v2.1)" xfId="164"/>
    <cellStyle name="_МОДЕЛЬ_1 (2)_46EE.2011(v1.0)_TEPLO.PREDEL.2012.M(v1.1)_test" xfId="165"/>
    <cellStyle name="_МОДЕЛЬ_1 (2)_46EE.2011(v1.2)" xfId="166"/>
    <cellStyle name="_МОДЕЛЬ_1 (2)_46EP.2012(v0.1)" xfId="167"/>
    <cellStyle name="_МОДЕЛЬ_1 (2)_46TE.2011(v1.0)" xfId="168"/>
    <cellStyle name="_МОДЕЛЬ_1 (2)_ARMRAZR" xfId="169"/>
    <cellStyle name="_МОДЕЛЬ_1 (2)_BALANCE.WARM.2010.FACT(v1.0)" xfId="170"/>
    <cellStyle name="_МОДЕЛЬ_1 (2)_BALANCE.WARM.2010.PLAN" xfId="171"/>
    <cellStyle name="_МОДЕЛЬ_1 (2)_BALANCE.WARM.2011YEAR(v0.7)" xfId="172"/>
    <cellStyle name="_МОДЕЛЬ_1 (2)_BALANCE.WARM.2011YEAR.NEW.UPDATE.SCHEME" xfId="173"/>
    <cellStyle name="_МОДЕЛЬ_1 (2)_EE.2REK.P2011.4.78(v0.3)" xfId="174"/>
    <cellStyle name="_МОДЕЛЬ_1 (2)_FORM910.2012(v1.1)" xfId="175"/>
    <cellStyle name="_МОДЕЛЬ_1 (2)_INVEST.EE.PLAN.4.78(v0.1)" xfId="176"/>
    <cellStyle name="_МОДЕЛЬ_1 (2)_INVEST.EE.PLAN.4.78(v0.3)" xfId="177"/>
    <cellStyle name="_МОДЕЛЬ_1 (2)_INVEST.EE.PLAN.4.78(v1.0)" xfId="178"/>
    <cellStyle name="_МОДЕЛЬ_1 (2)_INVEST.PLAN.4.78(v0.1)" xfId="179"/>
    <cellStyle name="_МОДЕЛЬ_1 (2)_INVEST.WARM.PLAN.4.78(v0.1)" xfId="180"/>
    <cellStyle name="_МОДЕЛЬ_1 (2)_INVEST_WARM_PLAN" xfId="181"/>
    <cellStyle name="_МОДЕЛЬ_1 (2)_NADB.JNVLS.APTEKA.2011(v1.3.3)" xfId="182"/>
    <cellStyle name="_МОДЕЛЬ_1 (2)_NADB.JNVLS.APTEKA.2011(v1.3.3)_46TE.2011(v1.0)" xfId="183"/>
    <cellStyle name="_МОДЕЛЬ_1 (2)_NADB.JNVLS.APTEKA.2011(v1.3.3)_INDEX.STATION.2012(v1.0)_" xfId="184"/>
    <cellStyle name="_МОДЕЛЬ_1 (2)_NADB.JNVLS.APTEKA.2011(v1.3.3)_INDEX.STATION.2012(v2.0)" xfId="185"/>
    <cellStyle name="_МОДЕЛЬ_1 (2)_NADB.JNVLS.APTEKA.2011(v1.3.3)_INDEX.STATION.2012(v2.1)" xfId="186"/>
    <cellStyle name="_МОДЕЛЬ_1 (2)_NADB.JNVLS.APTEKA.2011(v1.3.3)_TEPLO.PREDEL.2012.M(v1.1)_test" xfId="187"/>
    <cellStyle name="_МОДЕЛЬ_1 (2)_NADB.JNVLS.APTEKA.2011(v1.3.4)" xfId="188"/>
    <cellStyle name="_МОДЕЛЬ_1 (2)_NADB.JNVLS.APTEKA.2011(v1.3.4)_46TE.2011(v1.0)" xfId="189"/>
    <cellStyle name="_МОДЕЛЬ_1 (2)_NADB.JNVLS.APTEKA.2011(v1.3.4)_INDEX.STATION.2012(v1.0)_" xfId="190"/>
    <cellStyle name="_МОДЕЛЬ_1 (2)_NADB.JNVLS.APTEKA.2011(v1.3.4)_INDEX.STATION.2012(v2.0)" xfId="191"/>
    <cellStyle name="_МОДЕЛЬ_1 (2)_NADB.JNVLS.APTEKA.2011(v1.3.4)_INDEX.STATION.2012(v2.1)" xfId="192"/>
    <cellStyle name="_МОДЕЛЬ_1 (2)_NADB.JNVLS.APTEKA.2011(v1.3.4)_TEPLO.PREDEL.2012.M(v1.1)_test" xfId="193"/>
    <cellStyle name="_МОДЕЛЬ_1 (2)_PASSPORT.TEPLO.PROIZV(v2.1)" xfId="194"/>
    <cellStyle name="_МОДЕЛЬ_1 (2)_PR.PROG.WARM.NOTCOMBI.2012.2.16_v1.4(04.04.11) " xfId="195"/>
    <cellStyle name="_МОДЕЛЬ_1 (2)_PREDEL.JKH.UTV.2011(v1.0.1)" xfId="196"/>
    <cellStyle name="_МОДЕЛЬ_1 (2)_PREDEL.JKH.UTV.2011(v1.0.1)_46TE.2011(v1.0)" xfId="197"/>
    <cellStyle name="_МОДЕЛЬ_1 (2)_PREDEL.JKH.UTV.2011(v1.0.1)_INDEX.STATION.2012(v1.0)_" xfId="198"/>
    <cellStyle name="_МОДЕЛЬ_1 (2)_PREDEL.JKH.UTV.2011(v1.0.1)_INDEX.STATION.2012(v2.0)" xfId="199"/>
    <cellStyle name="_МОДЕЛЬ_1 (2)_PREDEL.JKH.UTV.2011(v1.0.1)_INDEX.STATION.2012(v2.1)" xfId="200"/>
    <cellStyle name="_МОДЕЛЬ_1 (2)_PREDEL.JKH.UTV.2011(v1.0.1)_TEPLO.PREDEL.2012.M(v1.1)_test" xfId="201"/>
    <cellStyle name="_МОДЕЛЬ_1 (2)_PREDEL.JKH.UTV.2011(v1.1)" xfId="202"/>
    <cellStyle name="_МОДЕЛЬ_1 (2)_REP.BLR.2012(v1.0)" xfId="203"/>
    <cellStyle name="_МОДЕЛЬ_1 (2)_TEPLO.PREDEL.2012.M(v1.1)" xfId="204"/>
    <cellStyle name="_МОДЕЛЬ_1 (2)_TEST.TEMPLATE" xfId="205"/>
    <cellStyle name="_МОДЕЛЬ_1 (2)_UPDATE.46EE.2011.TO.1.1" xfId="206"/>
    <cellStyle name="_МОДЕЛЬ_1 (2)_UPDATE.46TE.2011.TO.1.1" xfId="207"/>
    <cellStyle name="_МОДЕЛЬ_1 (2)_UPDATE.46TE.2011.TO.1.2" xfId="208"/>
    <cellStyle name="_МОДЕЛЬ_1 (2)_UPDATE.BALANCE.WARM.2011YEAR.TO.1.1" xfId="209"/>
    <cellStyle name="_МОДЕЛЬ_1 (2)_UPDATE.BALANCE.WARM.2011YEAR.TO.1.1_46TE.2011(v1.0)" xfId="210"/>
    <cellStyle name="_МОДЕЛЬ_1 (2)_UPDATE.BALANCE.WARM.2011YEAR.TO.1.1_INDEX.STATION.2012(v1.0)_" xfId="211"/>
    <cellStyle name="_МОДЕЛЬ_1 (2)_UPDATE.BALANCE.WARM.2011YEAR.TO.1.1_INDEX.STATION.2012(v2.0)" xfId="212"/>
    <cellStyle name="_МОДЕЛЬ_1 (2)_UPDATE.BALANCE.WARM.2011YEAR.TO.1.1_INDEX.STATION.2012(v2.1)" xfId="213"/>
    <cellStyle name="_МОДЕЛЬ_1 (2)_UPDATE.BALANCE.WARM.2011YEAR.TO.1.1_OREP.KU.2011.MONTHLY.02(v1.1)" xfId="214"/>
    <cellStyle name="_МОДЕЛЬ_1 (2)_UPDATE.BALANCE.WARM.2011YEAR.TO.1.1_TEPLO.PREDEL.2012.M(v1.1)_test" xfId="215"/>
    <cellStyle name="_МОДЕЛЬ_1 (2)_UPDATE.NADB.JNVLS.APTEKA.2011.TO.1.3.4" xfId="216"/>
    <cellStyle name="_МОДЕЛЬ_1 (2)_Книга2_PR.PROG.WARM.NOTCOMBI.2012.2.16_v1.4(04.04.11) " xfId="217"/>
    <cellStyle name="_НВВ 2009 постатейно свод по филиалам_09_02_09" xfId="218"/>
    <cellStyle name="_НВВ 2009 постатейно свод по филиалам_09_02_09_Новая инструкция1_фст" xfId="219"/>
    <cellStyle name="_НВВ 2009 постатейно свод по филиалам_для Валентина" xfId="220"/>
    <cellStyle name="_НВВ 2009 постатейно свод по филиалам_для Валентина_Новая инструкция1_фст" xfId="221"/>
    <cellStyle name="_Омск" xfId="222"/>
    <cellStyle name="_Омск_Новая инструкция1_фст" xfId="223"/>
    <cellStyle name="_ОТ ИД 2009" xfId="224"/>
    <cellStyle name="_ОТ ИД 2009_Новая инструкция1_фст" xfId="225"/>
    <cellStyle name="_пр 5 тариф RAB" xfId="226"/>
    <cellStyle name="_пр 5 тариф RAB 2" xfId="227"/>
    <cellStyle name="_пр 5 тариф RAB 2_OREP.KU.2011.MONTHLY.02(v0.1)" xfId="228"/>
    <cellStyle name="_пр 5 тариф RAB 2_OREP.KU.2011.MONTHLY.02(v0.4)" xfId="229"/>
    <cellStyle name="_пр 5 тариф RAB 2_OREP.KU.2011.MONTHLY.11(v1.4)" xfId="230"/>
    <cellStyle name="_пр 5 тариф RAB 2_UPDATE.OREP.KU.2011.MONTHLY.02.TO.1.2" xfId="231"/>
    <cellStyle name="_пр 5 тариф RAB_46EE.2011(v1.0)" xfId="232"/>
    <cellStyle name="_пр 5 тариф RAB_46EE.2011(v1.0)_46TE.2011(v1.0)" xfId="233"/>
    <cellStyle name="_пр 5 тариф RAB_46EE.2011(v1.0)_INDEX.STATION.2012(v1.0)_" xfId="234"/>
    <cellStyle name="_пр 5 тариф RAB_46EE.2011(v1.0)_INDEX.STATION.2012(v2.0)" xfId="235"/>
    <cellStyle name="_пр 5 тариф RAB_46EE.2011(v1.0)_INDEX.STATION.2012(v2.1)" xfId="236"/>
    <cellStyle name="_пр 5 тариф RAB_46EE.2011(v1.0)_TEPLO.PREDEL.2012.M(v1.1)_test" xfId="237"/>
    <cellStyle name="_пр 5 тариф RAB_46EE.2011(v1.2)" xfId="238"/>
    <cellStyle name="_пр 5 тариф RAB_46EP.2012(v0.1)" xfId="239"/>
    <cellStyle name="_пр 5 тариф RAB_46TE.2011(v1.0)" xfId="240"/>
    <cellStyle name="_пр 5 тариф RAB_ARMRAZR" xfId="241"/>
    <cellStyle name="_пр 5 тариф RAB_BALANCE.WARM.2010.FACT(v1.0)" xfId="242"/>
    <cellStyle name="_пр 5 тариф RAB_BALANCE.WARM.2010.PLAN" xfId="243"/>
    <cellStyle name="_пр 5 тариф RAB_BALANCE.WARM.2011YEAR(v0.7)" xfId="244"/>
    <cellStyle name="_пр 5 тариф RAB_BALANCE.WARM.2011YEAR.NEW.UPDATE.SCHEME" xfId="245"/>
    <cellStyle name="_пр 5 тариф RAB_EE.2REK.P2011.4.78(v0.3)" xfId="246"/>
    <cellStyle name="_пр 5 тариф RAB_FORM910.2012(v1.1)" xfId="247"/>
    <cellStyle name="_пр 5 тариф RAB_INVEST.EE.PLAN.4.78(v0.1)" xfId="248"/>
    <cellStyle name="_пр 5 тариф RAB_INVEST.EE.PLAN.4.78(v0.3)" xfId="249"/>
    <cellStyle name="_пр 5 тариф RAB_INVEST.EE.PLAN.4.78(v1.0)" xfId="250"/>
    <cellStyle name="_пр 5 тариф RAB_INVEST.PLAN.4.78(v0.1)" xfId="251"/>
    <cellStyle name="_пр 5 тариф RAB_INVEST.WARM.PLAN.4.78(v0.1)" xfId="252"/>
    <cellStyle name="_пр 5 тариф RAB_INVEST_WARM_PLAN" xfId="253"/>
    <cellStyle name="_пр 5 тариф RAB_NADB.JNVLS.APTEKA.2011(v1.3.3)" xfId="254"/>
    <cellStyle name="_пр 5 тариф RAB_NADB.JNVLS.APTEKA.2011(v1.3.3)_46TE.2011(v1.0)" xfId="255"/>
    <cellStyle name="_пр 5 тариф RAB_NADB.JNVLS.APTEKA.2011(v1.3.3)_INDEX.STATION.2012(v1.0)_" xfId="256"/>
    <cellStyle name="_пр 5 тариф RAB_NADB.JNVLS.APTEKA.2011(v1.3.3)_INDEX.STATION.2012(v2.0)" xfId="257"/>
    <cellStyle name="_пр 5 тариф RAB_NADB.JNVLS.APTEKA.2011(v1.3.3)_INDEX.STATION.2012(v2.1)" xfId="258"/>
    <cellStyle name="_пр 5 тариф RAB_NADB.JNVLS.APTEKA.2011(v1.3.3)_TEPLO.PREDEL.2012.M(v1.1)_test" xfId="259"/>
    <cellStyle name="_пр 5 тариф RAB_NADB.JNVLS.APTEKA.2011(v1.3.4)" xfId="260"/>
    <cellStyle name="_пр 5 тариф RAB_NADB.JNVLS.APTEKA.2011(v1.3.4)_46TE.2011(v1.0)" xfId="261"/>
    <cellStyle name="_пр 5 тариф RAB_NADB.JNVLS.APTEKA.2011(v1.3.4)_INDEX.STATION.2012(v1.0)_" xfId="262"/>
    <cellStyle name="_пр 5 тариф RAB_NADB.JNVLS.APTEKA.2011(v1.3.4)_INDEX.STATION.2012(v2.0)" xfId="263"/>
    <cellStyle name="_пр 5 тариф RAB_NADB.JNVLS.APTEKA.2011(v1.3.4)_INDEX.STATION.2012(v2.1)" xfId="264"/>
    <cellStyle name="_пр 5 тариф RAB_NADB.JNVLS.APTEKA.2011(v1.3.4)_TEPLO.PREDEL.2012.M(v1.1)_test" xfId="265"/>
    <cellStyle name="_пр 5 тариф RAB_PASSPORT.TEPLO.PROIZV(v2.1)" xfId="266"/>
    <cellStyle name="_пр 5 тариф RAB_PR.PROG.WARM.NOTCOMBI.2012.2.16_v1.4(04.04.11) " xfId="267"/>
    <cellStyle name="_пр 5 тариф RAB_PREDEL.JKH.UTV.2011(v1.0.1)" xfId="268"/>
    <cellStyle name="_пр 5 тариф RAB_PREDEL.JKH.UTV.2011(v1.0.1)_46TE.2011(v1.0)" xfId="269"/>
    <cellStyle name="_пр 5 тариф RAB_PREDEL.JKH.UTV.2011(v1.0.1)_INDEX.STATION.2012(v1.0)_" xfId="270"/>
    <cellStyle name="_пр 5 тариф RAB_PREDEL.JKH.UTV.2011(v1.0.1)_INDEX.STATION.2012(v2.0)" xfId="271"/>
    <cellStyle name="_пр 5 тариф RAB_PREDEL.JKH.UTV.2011(v1.0.1)_INDEX.STATION.2012(v2.1)" xfId="272"/>
    <cellStyle name="_пр 5 тариф RAB_PREDEL.JKH.UTV.2011(v1.0.1)_TEPLO.PREDEL.2012.M(v1.1)_test" xfId="273"/>
    <cellStyle name="_пр 5 тариф RAB_PREDEL.JKH.UTV.2011(v1.1)" xfId="274"/>
    <cellStyle name="_пр 5 тариф RAB_REP.BLR.2012(v1.0)" xfId="275"/>
    <cellStyle name="_пр 5 тариф RAB_TEPLO.PREDEL.2012.M(v1.1)" xfId="276"/>
    <cellStyle name="_пр 5 тариф RAB_TEST.TEMPLATE" xfId="277"/>
    <cellStyle name="_пр 5 тариф RAB_UPDATE.46EE.2011.TO.1.1" xfId="278"/>
    <cellStyle name="_пр 5 тариф RAB_UPDATE.46TE.2011.TO.1.1" xfId="279"/>
    <cellStyle name="_пр 5 тариф RAB_UPDATE.46TE.2011.TO.1.2" xfId="280"/>
    <cellStyle name="_пр 5 тариф RAB_UPDATE.BALANCE.WARM.2011YEAR.TO.1.1" xfId="281"/>
    <cellStyle name="_пр 5 тариф RAB_UPDATE.BALANCE.WARM.2011YEAR.TO.1.1_46TE.2011(v1.0)" xfId="282"/>
    <cellStyle name="_пр 5 тариф RAB_UPDATE.BALANCE.WARM.2011YEAR.TO.1.1_INDEX.STATION.2012(v1.0)_" xfId="283"/>
    <cellStyle name="_пр 5 тариф RAB_UPDATE.BALANCE.WARM.2011YEAR.TO.1.1_INDEX.STATION.2012(v2.0)" xfId="284"/>
    <cellStyle name="_пр 5 тариф RAB_UPDATE.BALANCE.WARM.2011YEAR.TO.1.1_INDEX.STATION.2012(v2.1)" xfId="285"/>
    <cellStyle name="_пр 5 тариф RAB_UPDATE.BALANCE.WARM.2011YEAR.TO.1.1_OREP.KU.2011.MONTHLY.02(v1.1)" xfId="286"/>
    <cellStyle name="_пр 5 тариф RAB_UPDATE.BALANCE.WARM.2011YEAR.TO.1.1_TEPLO.PREDEL.2012.M(v1.1)_test" xfId="287"/>
    <cellStyle name="_пр 5 тариф RAB_UPDATE.NADB.JNVLS.APTEKA.2011.TO.1.3.4" xfId="288"/>
    <cellStyle name="_пр 5 тариф RAB_Книга2_PR.PROG.WARM.NOTCOMBI.2012.2.16_v1.4(04.04.11) " xfId="289"/>
    <cellStyle name="_Предожение _ДБП_2009 г ( согласованные БП)  (2)" xfId="290"/>
    <cellStyle name="_Предожение _ДБП_2009 г ( согласованные БП)  (2)_Новая инструкция1_фст" xfId="291"/>
    <cellStyle name="_Приложение 2 0806 факт" xfId="292"/>
    <cellStyle name="_Приложение МТС-3-КС" xfId="293"/>
    <cellStyle name="_Приложение МТС-3-КС_Новая инструкция1_фст" xfId="294"/>
    <cellStyle name="_Приложение-МТС--2-1" xfId="295"/>
    <cellStyle name="_Приложение-МТС--2-1_Новая инструкция1_фст" xfId="296"/>
    <cellStyle name="_Расчет RAB_22072008" xfId="297"/>
    <cellStyle name="_Расчет RAB_22072008 2" xfId="298"/>
    <cellStyle name="_Расчет RAB_22072008 2_OREP.KU.2011.MONTHLY.02(v0.1)" xfId="299"/>
    <cellStyle name="_Расчет RAB_22072008 2_OREP.KU.2011.MONTHLY.02(v0.4)" xfId="300"/>
    <cellStyle name="_Расчет RAB_22072008 2_OREP.KU.2011.MONTHLY.11(v1.4)" xfId="301"/>
    <cellStyle name="_Расчет RAB_22072008 2_UPDATE.OREP.KU.2011.MONTHLY.02.TO.1.2" xfId="302"/>
    <cellStyle name="_Расчет RAB_22072008_46EE.2011(v1.0)" xfId="303"/>
    <cellStyle name="_Расчет RAB_22072008_46EE.2011(v1.0)_46TE.2011(v1.0)" xfId="304"/>
    <cellStyle name="_Расчет RAB_22072008_46EE.2011(v1.0)_INDEX.STATION.2012(v1.0)_" xfId="305"/>
    <cellStyle name="_Расчет RAB_22072008_46EE.2011(v1.0)_INDEX.STATION.2012(v2.0)" xfId="306"/>
    <cellStyle name="_Расчет RAB_22072008_46EE.2011(v1.0)_INDEX.STATION.2012(v2.1)" xfId="307"/>
    <cellStyle name="_Расчет RAB_22072008_46EE.2011(v1.0)_TEPLO.PREDEL.2012.M(v1.1)_test" xfId="308"/>
    <cellStyle name="_Расчет RAB_22072008_46EE.2011(v1.2)" xfId="309"/>
    <cellStyle name="_Расчет RAB_22072008_46EP.2012(v0.1)" xfId="310"/>
    <cellStyle name="_Расчет RAB_22072008_46TE.2011(v1.0)" xfId="311"/>
    <cellStyle name="_Расчет RAB_22072008_ARMRAZR" xfId="312"/>
    <cellStyle name="_Расчет RAB_22072008_BALANCE.WARM.2010.FACT(v1.0)" xfId="313"/>
    <cellStyle name="_Расчет RAB_22072008_BALANCE.WARM.2010.PLAN" xfId="314"/>
    <cellStyle name="_Расчет RAB_22072008_BALANCE.WARM.2011YEAR(v0.7)" xfId="315"/>
    <cellStyle name="_Расчет RAB_22072008_BALANCE.WARM.2011YEAR.NEW.UPDATE.SCHEME" xfId="316"/>
    <cellStyle name="_Расчет RAB_22072008_EE.2REK.P2011.4.78(v0.3)" xfId="317"/>
    <cellStyle name="_Расчет RAB_22072008_FORM910.2012(v1.1)" xfId="318"/>
    <cellStyle name="_Расчет RAB_22072008_INVEST.EE.PLAN.4.78(v0.1)" xfId="319"/>
    <cellStyle name="_Расчет RAB_22072008_INVEST.EE.PLAN.4.78(v0.3)" xfId="320"/>
    <cellStyle name="_Расчет RAB_22072008_INVEST.EE.PLAN.4.78(v1.0)" xfId="321"/>
    <cellStyle name="_Расчет RAB_22072008_INVEST.PLAN.4.78(v0.1)" xfId="322"/>
    <cellStyle name="_Расчет RAB_22072008_INVEST.WARM.PLAN.4.78(v0.1)" xfId="323"/>
    <cellStyle name="_Расчет RAB_22072008_INVEST_WARM_PLAN" xfId="324"/>
    <cellStyle name="_Расчет RAB_22072008_NADB.JNVLS.APTEKA.2011(v1.3.3)" xfId="325"/>
    <cellStyle name="_Расчет RAB_22072008_NADB.JNVLS.APTEKA.2011(v1.3.3)_46TE.2011(v1.0)" xfId="326"/>
    <cellStyle name="_Расчет RAB_22072008_NADB.JNVLS.APTEKA.2011(v1.3.3)_INDEX.STATION.2012(v1.0)_" xfId="327"/>
    <cellStyle name="_Расчет RAB_22072008_NADB.JNVLS.APTEKA.2011(v1.3.3)_INDEX.STATION.2012(v2.0)" xfId="328"/>
    <cellStyle name="_Расчет RAB_22072008_NADB.JNVLS.APTEKA.2011(v1.3.3)_INDEX.STATION.2012(v2.1)" xfId="329"/>
    <cellStyle name="_Расчет RAB_22072008_NADB.JNVLS.APTEKA.2011(v1.3.3)_TEPLO.PREDEL.2012.M(v1.1)_test" xfId="330"/>
    <cellStyle name="_Расчет RAB_22072008_NADB.JNVLS.APTEKA.2011(v1.3.4)" xfId="331"/>
    <cellStyle name="_Расчет RAB_22072008_NADB.JNVLS.APTEKA.2011(v1.3.4)_46TE.2011(v1.0)" xfId="332"/>
    <cellStyle name="_Расчет RAB_22072008_NADB.JNVLS.APTEKA.2011(v1.3.4)_INDEX.STATION.2012(v1.0)_" xfId="333"/>
    <cellStyle name="_Расчет RAB_22072008_NADB.JNVLS.APTEKA.2011(v1.3.4)_INDEX.STATION.2012(v2.0)" xfId="334"/>
    <cellStyle name="_Расчет RAB_22072008_NADB.JNVLS.APTEKA.2011(v1.3.4)_INDEX.STATION.2012(v2.1)" xfId="335"/>
    <cellStyle name="_Расчет RAB_22072008_NADB.JNVLS.APTEKA.2011(v1.3.4)_TEPLO.PREDEL.2012.M(v1.1)_test" xfId="336"/>
    <cellStyle name="_Расчет RAB_22072008_PASSPORT.TEPLO.PROIZV(v2.1)" xfId="337"/>
    <cellStyle name="_Расчет RAB_22072008_PR.PROG.WARM.NOTCOMBI.2012.2.16_v1.4(04.04.11) " xfId="338"/>
    <cellStyle name="_Расчет RAB_22072008_PREDEL.JKH.UTV.2011(v1.0.1)" xfId="339"/>
    <cellStyle name="_Расчет RAB_22072008_PREDEL.JKH.UTV.2011(v1.0.1)_46TE.2011(v1.0)" xfId="340"/>
    <cellStyle name="_Расчет RAB_22072008_PREDEL.JKH.UTV.2011(v1.0.1)_INDEX.STATION.2012(v1.0)_" xfId="341"/>
    <cellStyle name="_Расчет RAB_22072008_PREDEL.JKH.UTV.2011(v1.0.1)_INDEX.STATION.2012(v2.0)" xfId="342"/>
    <cellStyle name="_Расчет RAB_22072008_PREDEL.JKH.UTV.2011(v1.0.1)_INDEX.STATION.2012(v2.1)" xfId="343"/>
    <cellStyle name="_Расчет RAB_22072008_PREDEL.JKH.UTV.2011(v1.0.1)_TEPLO.PREDEL.2012.M(v1.1)_test" xfId="344"/>
    <cellStyle name="_Расчет RAB_22072008_PREDEL.JKH.UTV.2011(v1.1)" xfId="345"/>
    <cellStyle name="_Расчет RAB_22072008_REP.BLR.2012(v1.0)" xfId="346"/>
    <cellStyle name="_Расчет RAB_22072008_TEPLO.PREDEL.2012.M(v1.1)" xfId="347"/>
    <cellStyle name="_Расчет RAB_22072008_TEST.TEMPLATE" xfId="348"/>
    <cellStyle name="_Расчет RAB_22072008_UPDATE.46EE.2011.TO.1.1" xfId="349"/>
    <cellStyle name="_Расчет RAB_22072008_UPDATE.46TE.2011.TO.1.1" xfId="350"/>
    <cellStyle name="_Расчет RAB_22072008_UPDATE.46TE.2011.TO.1.2" xfId="351"/>
    <cellStyle name="_Расчет RAB_22072008_UPDATE.BALANCE.WARM.2011YEAR.TO.1.1" xfId="352"/>
    <cellStyle name="_Расчет RAB_22072008_UPDATE.BALANCE.WARM.2011YEAR.TO.1.1_46TE.2011(v1.0)" xfId="353"/>
    <cellStyle name="_Расчет RAB_22072008_UPDATE.BALANCE.WARM.2011YEAR.TO.1.1_INDEX.STATION.2012(v1.0)_" xfId="354"/>
    <cellStyle name="_Расчет RAB_22072008_UPDATE.BALANCE.WARM.2011YEAR.TO.1.1_INDEX.STATION.2012(v2.0)" xfId="355"/>
    <cellStyle name="_Расчет RAB_22072008_UPDATE.BALANCE.WARM.2011YEAR.TO.1.1_INDEX.STATION.2012(v2.1)" xfId="356"/>
    <cellStyle name="_Расчет RAB_22072008_UPDATE.BALANCE.WARM.2011YEAR.TO.1.1_OREP.KU.2011.MONTHLY.02(v1.1)" xfId="357"/>
    <cellStyle name="_Расчет RAB_22072008_UPDATE.BALANCE.WARM.2011YEAR.TO.1.1_TEPLO.PREDEL.2012.M(v1.1)_test" xfId="358"/>
    <cellStyle name="_Расчет RAB_22072008_UPDATE.NADB.JNVLS.APTEKA.2011.TO.1.3.4" xfId="359"/>
    <cellStyle name="_Расчет RAB_22072008_Книга2_PR.PROG.WARM.NOTCOMBI.2012.2.16_v1.4(04.04.11) " xfId="360"/>
    <cellStyle name="_Расчет RAB_Лен и МОЭСК_с 2010 года_14.04.2009_со сглаж_version 3.0_без ФСК" xfId="361"/>
    <cellStyle name="_Расчет RAB_Лен и МОЭСК_с 2010 года_14.04.2009_со сглаж_version 3.0_без ФСК 2" xfId="362"/>
    <cellStyle name="_Расчет RAB_Лен и МОЭСК_с 2010 года_14.04.2009_со сглаж_version 3.0_без ФСК 2_OREP.KU.2011.MONTHLY.02(v0.1)" xfId="363"/>
    <cellStyle name="_Расчет RAB_Лен и МОЭСК_с 2010 года_14.04.2009_со сглаж_version 3.0_без ФСК 2_OREP.KU.2011.MONTHLY.02(v0.4)" xfId="364"/>
    <cellStyle name="_Расчет RAB_Лен и МОЭСК_с 2010 года_14.04.2009_со сглаж_version 3.0_без ФСК 2_OREP.KU.2011.MONTHLY.11(v1.4)" xfId="365"/>
    <cellStyle name="_Расчет RAB_Лен и МОЭСК_с 2010 года_14.04.2009_со сглаж_version 3.0_без ФСК 2_UPDATE.OREP.KU.2011.MONTHLY.02.TO.1.2" xfId="366"/>
    <cellStyle name="_Расчет RAB_Лен и МОЭСК_с 2010 года_14.04.2009_со сглаж_version 3.0_без ФСК_46EE.2011(v1.0)" xfId="367"/>
    <cellStyle name="_Расчет RAB_Лен и МОЭСК_с 2010 года_14.04.2009_со сглаж_version 3.0_без ФСК_46EE.2011(v1.0)_46TE.2011(v1.0)" xfId="368"/>
    <cellStyle name="_Расчет RAB_Лен и МОЭСК_с 2010 года_14.04.2009_со сглаж_version 3.0_без ФСК_46EE.2011(v1.0)_INDEX.STATION.2012(v1.0)_" xfId="369"/>
    <cellStyle name="_Расчет RAB_Лен и МОЭСК_с 2010 года_14.04.2009_со сглаж_version 3.0_без ФСК_46EE.2011(v1.0)_INDEX.STATION.2012(v2.0)" xfId="370"/>
    <cellStyle name="_Расчет RAB_Лен и МОЭСК_с 2010 года_14.04.2009_со сглаж_version 3.0_без ФСК_46EE.2011(v1.0)_INDEX.STATION.2012(v2.1)" xfId="371"/>
    <cellStyle name="_Расчет RAB_Лен и МОЭСК_с 2010 года_14.04.2009_со сглаж_version 3.0_без ФСК_46EE.2011(v1.0)_TEPLO.PREDEL.2012.M(v1.1)_test" xfId="372"/>
    <cellStyle name="_Расчет RAB_Лен и МОЭСК_с 2010 года_14.04.2009_со сглаж_version 3.0_без ФСК_46EE.2011(v1.2)" xfId="373"/>
    <cellStyle name="_Расчет RAB_Лен и МОЭСК_с 2010 года_14.04.2009_со сглаж_version 3.0_без ФСК_46EP.2012(v0.1)" xfId="374"/>
    <cellStyle name="_Расчет RAB_Лен и МОЭСК_с 2010 года_14.04.2009_со сглаж_version 3.0_без ФСК_46TE.2011(v1.0)" xfId="375"/>
    <cellStyle name="_Расчет RAB_Лен и МОЭСК_с 2010 года_14.04.2009_со сглаж_version 3.0_без ФСК_ARMRAZR" xfId="376"/>
    <cellStyle name="_Расчет RAB_Лен и МОЭСК_с 2010 года_14.04.2009_со сглаж_version 3.0_без ФСК_BALANCE.WARM.2010.FACT(v1.0)" xfId="377"/>
    <cellStyle name="_Расчет RAB_Лен и МОЭСК_с 2010 года_14.04.2009_со сглаж_version 3.0_без ФСК_BALANCE.WARM.2010.PLAN" xfId="378"/>
    <cellStyle name="_Расчет RAB_Лен и МОЭСК_с 2010 года_14.04.2009_со сглаж_version 3.0_без ФСК_BALANCE.WARM.2011YEAR(v0.7)" xfId="379"/>
    <cellStyle name="_Расчет RAB_Лен и МОЭСК_с 2010 года_14.04.2009_со сглаж_version 3.0_без ФСК_BALANCE.WARM.2011YEAR.NEW.UPDATE.SCHEME" xfId="380"/>
    <cellStyle name="_Расчет RAB_Лен и МОЭСК_с 2010 года_14.04.2009_со сглаж_version 3.0_без ФСК_EE.2REK.P2011.4.78(v0.3)" xfId="381"/>
    <cellStyle name="_Расчет RAB_Лен и МОЭСК_с 2010 года_14.04.2009_со сглаж_version 3.0_без ФСК_FORM910.2012(v1.1)" xfId="382"/>
    <cellStyle name="_Расчет RAB_Лен и МОЭСК_с 2010 года_14.04.2009_со сглаж_version 3.0_без ФСК_INVEST.EE.PLAN.4.78(v0.1)" xfId="383"/>
    <cellStyle name="_Расчет RAB_Лен и МОЭСК_с 2010 года_14.04.2009_со сглаж_version 3.0_без ФСК_INVEST.EE.PLAN.4.78(v0.3)" xfId="384"/>
    <cellStyle name="_Расчет RAB_Лен и МОЭСК_с 2010 года_14.04.2009_со сглаж_version 3.0_без ФСК_INVEST.EE.PLAN.4.78(v1.0)" xfId="385"/>
    <cellStyle name="_Расчет RAB_Лен и МОЭСК_с 2010 года_14.04.2009_со сглаж_version 3.0_без ФСК_INVEST.PLAN.4.78(v0.1)" xfId="386"/>
    <cellStyle name="_Расчет RAB_Лен и МОЭСК_с 2010 года_14.04.2009_со сглаж_version 3.0_без ФСК_INVEST.WARM.PLAN.4.78(v0.1)" xfId="387"/>
    <cellStyle name="_Расчет RAB_Лен и МОЭСК_с 2010 года_14.04.2009_со сглаж_version 3.0_без ФСК_INVEST_WARM_PLAN" xfId="388"/>
    <cellStyle name="_Расчет RAB_Лен и МОЭСК_с 2010 года_14.04.2009_со сглаж_version 3.0_без ФСК_NADB.JNVLS.APTEKA.2011(v1.3.3)" xfId="389"/>
    <cellStyle name="_Расчет RAB_Лен и МОЭСК_с 2010 года_14.04.2009_со сглаж_version 3.0_без ФСК_NADB.JNVLS.APTEKA.2011(v1.3.3)_46TE.2011(v1.0)" xfId="390"/>
    <cellStyle name="_Расчет RAB_Лен и МОЭСК_с 2010 года_14.04.2009_со сглаж_version 3.0_без ФСК_NADB.JNVLS.APTEKA.2011(v1.3.3)_INDEX.STATION.2012(v1.0)_" xfId="391"/>
    <cellStyle name="_Расчет RAB_Лен и МОЭСК_с 2010 года_14.04.2009_со сглаж_version 3.0_без ФСК_NADB.JNVLS.APTEKA.2011(v1.3.3)_INDEX.STATION.2012(v2.0)" xfId="392"/>
    <cellStyle name="_Расчет RAB_Лен и МОЭСК_с 2010 года_14.04.2009_со сглаж_version 3.0_без ФСК_NADB.JNVLS.APTEKA.2011(v1.3.3)_INDEX.STATION.2012(v2.1)" xfId="393"/>
    <cellStyle name="_Расчет RAB_Лен и МОЭСК_с 2010 года_14.04.2009_со сглаж_version 3.0_без ФСК_NADB.JNVLS.APTEKA.2011(v1.3.3)_TEPLO.PREDEL.2012.M(v1.1)_test" xfId="394"/>
    <cellStyle name="_Расчет RAB_Лен и МОЭСК_с 2010 года_14.04.2009_со сглаж_version 3.0_без ФСК_NADB.JNVLS.APTEKA.2011(v1.3.4)" xfId="395"/>
    <cellStyle name="_Расчет RAB_Лен и МОЭСК_с 2010 года_14.04.2009_со сглаж_version 3.0_без ФСК_NADB.JNVLS.APTEKA.2011(v1.3.4)_46TE.2011(v1.0)" xfId="396"/>
    <cellStyle name="_Расчет RAB_Лен и МОЭСК_с 2010 года_14.04.2009_со сглаж_version 3.0_без ФСК_NADB.JNVLS.APTEKA.2011(v1.3.4)_INDEX.STATION.2012(v1.0)_" xfId="397"/>
    <cellStyle name="_Расчет RAB_Лен и МОЭСК_с 2010 года_14.04.2009_со сглаж_version 3.0_без ФСК_NADB.JNVLS.APTEKA.2011(v1.3.4)_INDEX.STATION.2012(v2.0)" xfId="398"/>
    <cellStyle name="_Расчет RAB_Лен и МОЭСК_с 2010 года_14.04.2009_со сглаж_version 3.0_без ФСК_NADB.JNVLS.APTEKA.2011(v1.3.4)_INDEX.STATION.2012(v2.1)" xfId="399"/>
    <cellStyle name="_Расчет RAB_Лен и МОЭСК_с 2010 года_14.04.2009_со сглаж_version 3.0_без ФСК_NADB.JNVLS.APTEKA.2011(v1.3.4)_TEPLO.PREDEL.2012.M(v1.1)_test" xfId="400"/>
    <cellStyle name="_Расчет RAB_Лен и МОЭСК_с 2010 года_14.04.2009_со сглаж_version 3.0_без ФСК_PASSPORT.TEPLO.PROIZV(v2.1)" xfId="401"/>
    <cellStyle name="_Расчет RAB_Лен и МОЭСК_с 2010 года_14.04.2009_со сглаж_version 3.0_без ФСК_PR.PROG.WARM.NOTCOMBI.2012.2.16_v1.4(04.04.11) " xfId="402"/>
    <cellStyle name="_Расчет RAB_Лен и МОЭСК_с 2010 года_14.04.2009_со сглаж_version 3.0_без ФСК_PREDEL.JKH.UTV.2011(v1.0.1)" xfId="403"/>
    <cellStyle name="_Расчет RAB_Лен и МОЭСК_с 2010 года_14.04.2009_со сглаж_version 3.0_без ФСК_PREDEL.JKH.UTV.2011(v1.0.1)_46TE.2011(v1.0)" xfId="404"/>
    <cellStyle name="_Расчет RAB_Лен и МОЭСК_с 2010 года_14.04.2009_со сглаж_version 3.0_без ФСК_PREDEL.JKH.UTV.2011(v1.0.1)_INDEX.STATION.2012(v1.0)_" xfId="405"/>
    <cellStyle name="_Расчет RAB_Лен и МОЭСК_с 2010 года_14.04.2009_со сглаж_version 3.0_без ФСК_PREDEL.JKH.UTV.2011(v1.0.1)_INDEX.STATION.2012(v2.0)" xfId="406"/>
    <cellStyle name="_Расчет RAB_Лен и МОЭСК_с 2010 года_14.04.2009_со сглаж_version 3.0_без ФСК_PREDEL.JKH.UTV.2011(v1.0.1)_INDEX.STATION.2012(v2.1)" xfId="407"/>
    <cellStyle name="_Расчет RAB_Лен и МОЭСК_с 2010 года_14.04.2009_со сглаж_version 3.0_без ФСК_PREDEL.JKH.UTV.2011(v1.0.1)_TEPLO.PREDEL.2012.M(v1.1)_test" xfId="408"/>
    <cellStyle name="_Расчет RAB_Лен и МОЭСК_с 2010 года_14.04.2009_со сглаж_version 3.0_без ФСК_PREDEL.JKH.UTV.2011(v1.1)" xfId="409"/>
    <cellStyle name="_Расчет RAB_Лен и МОЭСК_с 2010 года_14.04.2009_со сглаж_version 3.0_без ФСК_REP.BLR.2012(v1.0)" xfId="410"/>
    <cellStyle name="_Расчет RAB_Лен и МОЭСК_с 2010 года_14.04.2009_со сглаж_version 3.0_без ФСК_TEPLO.PREDEL.2012.M(v1.1)" xfId="411"/>
    <cellStyle name="_Расчет RAB_Лен и МОЭСК_с 2010 года_14.04.2009_со сглаж_version 3.0_без ФСК_TEST.TEMPLATE" xfId="412"/>
    <cellStyle name="_Расчет RAB_Лен и МОЭСК_с 2010 года_14.04.2009_со сглаж_version 3.0_без ФСК_UPDATE.46EE.2011.TO.1.1" xfId="413"/>
    <cellStyle name="_Расчет RAB_Лен и МОЭСК_с 2010 года_14.04.2009_со сглаж_version 3.0_без ФСК_UPDATE.46TE.2011.TO.1.1" xfId="414"/>
    <cellStyle name="_Расчет RAB_Лен и МОЭСК_с 2010 года_14.04.2009_со сглаж_version 3.0_без ФСК_UPDATE.46TE.2011.TO.1.2" xfId="415"/>
    <cellStyle name="_Расчет RAB_Лен и МОЭСК_с 2010 года_14.04.2009_со сглаж_version 3.0_без ФСК_UPDATE.BALANCE.WARM.2011YEAR.TO.1.1" xfId="416"/>
    <cellStyle name="_Расчет RAB_Лен и МОЭСК_с 2010 года_14.04.2009_со сглаж_version 3.0_без ФСК_UPDATE.BALANCE.WARM.2011YEAR.TO.1.1_46TE.2011(v1.0)" xfId="417"/>
    <cellStyle name="_Расчет RAB_Лен и МОЭСК_с 2010 года_14.04.2009_со сглаж_version 3.0_без ФСК_UPDATE.BALANCE.WARM.2011YEAR.TO.1.1_INDEX.STATION.2012(v1.0)_" xfId="418"/>
    <cellStyle name="_Расчет RAB_Лен и МОЭСК_с 2010 года_14.04.2009_со сглаж_version 3.0_без ФСК_UPDATE.BALANCE.WARM.2011YEAR.TO.1.1_INDEX.STATION.2012(v2.0)" xfId="419"/>
    <cellStyle name="_Расчет RAB_Лен и МОЭСК_с 2010 года_14.04.2009_со сглаж_version 3.0_без ФСК_UPDATE.BALANCE.WARM.2011YEAR.TO.1.1_INDEX.STATION.2012(v2.1)" xfId="420"/>
    <cellStyle name="_Расчет RAB_Лен и МОЭСК_с 2010 года_14.04.2009_со сглаж_version 3.0_без ФСК_UPDATE.BALANCE.WARM.2011YEAR.TO.1.1_OREP.KU.2011.MONTHLY.02(v1.1)" xfId="421"/>
    <cellStyle name="_Расчет RAB_Лен и МОЭСК_с 2010 года_14.04.2009_со сглаж_version 3.0_без ФСК_UPDATE.BALANCE.WARM.2011YEAR.TO.1.1_TEPLO.PREDEL.2012.M(v1.1)_test" xfId="422"/>
    <cellStyle name="_Расчет RAB_Лен и МОЭСК_с 2010 года_14.04.2009_со сглаж_version 3.0_без ФСК_UPDATE.NADB.JNVLS.APTEKA.2011.TO.1.3.4" xfId="423"/>
    <cellStyle name="_Расчет RAB_Лен и МОЭСК_с 2010 года_14.04.2009_со сглаж_version 3.0_без ФСК_Книга2_PR.PROG.WARM.NOTCOMBI.2012.2.16_v1.4(04.04.11) " xfId="424"/>
    <cellStyle name="_Свод по ИПР (2)" xfId="425"/>
    <cellStyle name="_Свод по ИПР (2)_Новая инструкция1_фст" xfId="426"/>
    <cellStyle name="_Справочник затрат_ЛХ_20.10.05" xfId="427"/>
    <cellStyle name="_таблицы для расчетов28-04-08_2006-2009_прибыль корр_по ИА" xfId="428"/>
    <cellStyle name="_таблицы для расчетов28-04-08_2006-2009_прибыль корр_по ИА_Новая инструкция1_фст" xfId="429"/>
    <cellStyle name="_таблицы для расчетов28-04-08_2006-2009с ИА" xfId="430"/>
    <cellStyle name="_таблицы для расчетов28-04-08_2006-2009с ИА_Новая инструкция1_фст" xfId="431"/>
    <cellStyle name="_Форма 6  РТК.xls(отчет по Адр пр. ЛО)" xfId="432"/>
    <cellStyle name="_Форма 6  РТК.xls(отчет по Адр пр. ЛО)_Новая инструкция1_фст" xfId="433"/>
    <cellStyle name="_Формат разбивки по МРСК_РСК" xfId="434"/>
    <cellStyle name="_Формат разбивки по МРСК_РСК_Новая инструкция1_фст" xfId="435"/>
    <cellStyle name="_Формат_для Согласования" xfId="436"/>
    <cellStyle name="_Формат_для Согласования_Новая инструкция1_фст" xfId="437"/>
    <cellStyle name="_ХХХ Прил 2 Формы бюджетных документов 2007" xfId="438"/>
    <cellStyle name="_экон.форм-т ВО 1 с разбивкой" xfId="439"/>
    <cellStyle name="_экон.форм-т ВО 1 с разбивкой_Новая инструкция1_фст" xfId="440"/>
    <cellStyle name="’К‰Э [0.00]" xfId="441"/>
    <cellStyle name="”€ќђќ‘ћ‚›‰" xfId="442"/>
    <cellStyle name="”€љ‘€ђћ‚ђќќ›‰" xfId="443"/>
    <cellStyle name="”ќђќ‘ћ‚›‰" xfId="444"/>
    <cellStyle name="”љ‘ђћ‚ђќќ›‰" xfId="445"/>
    <cellStyle name="„…ќ…†ќ›‰" xfId="446"/>
    <cellStyle name="€’ћѓћ‚›‰" xfId="447"/>
    <cellStyle name="‡ђѓћ‹ћ‚ћљ1" xfId="448"/>
    <cellStyle name="‡ђѓћ‹ћ‚ћљ2" xfId="449"/>
    <cellStyle name="’ћѓћ‚›‰" xfId="450"/>
    <cellStyle name="1Normal" xfId="451"/>
    <cellStyle name="20% - Accent1" xfId="452"/>
    <cellStyle name="20% - Accent1 2" xfId="453"/>
    <cellStyle name="20% - Accent1 3" xfId="454"/>
    <cellStyle name="20% - Accent1_46EE.2011(v1.0)" xfId="455"/>
    <cellStyle name="20% - Accent2" xfId="456"/>
    <cellStyle name="20% - Accent2 2" xfId="457"/>
    <cellStyle name="20% - Accent2 3" xfId="458"/>
    <cellStyle name="20% - Accent2_46EE.2011(v1.0)" xfId="459"/>
    <cellStyle name="20% - Accent3" xfId="460"/>
    <cellStyle name="20% - Accent3 2" xfId="461"/>
    <cellStyle name="20% - Accent3 3" xfId="462"/>
    <cellStyle name="20% - Accent3_46EE.2011(v1.0)" xfId="463"/>
    <cellStyle name="20% - Accent4" xfId="464"/>
    <cellStyle name="20% - Accent4 2" xfId="465"/>
    <cellStyle name="20% - Accent4 3" xfId="466"/>
    <cellStyle name="20% - Accent4_46EE.2011(v1.0)" xfId="467"/>
    <cellStyle name="20% - Accent5" xfId="468"/>
    <cellStyle name="20% - Accent5 2" xfId="469"/>
    <cellStyle name="20% - Accent5 3" xfId="470"/>
    <cellStyle name="20% - Accent5_46EE.2011(v1.0)" xfId="471"/>
    <cellStyle name="20% - Accent6" xfId="472"/>
    <cellStyle name="20% - Accent6 2" xfId="473"/>
    <cellStyle name="20% - Accent6 3" xfId="474"/>
    <cellStyle name="20% - Accent6_46EE.2011(v1.0)" xfId="475"/>
    <cellStyle name="20% - Акцент1 10" xfId="476"/>
    <cellStyle name="20% - Акцент1 2" xfId="477"/>
    <cellStyle name="20% - Акцент1 2 2" xfId="478"/>
    <cellStyle name="20% - Акцент1 2 3" xfId="479"/>
    <cellStyle name="20% - Акцент1 2_46EE.2011(v1.0)" xfId="480"/>
    <cellStyle name="20% - Акцент1 3" xfId="481"/>
    <cellStyle name="20% - Акцент1 3 2" xfId="482"/>
    <cellStyle name="20% - Акцент1 3 3" xfId="483"/>
    <cellStyle name="20% - Акцент1 3_46EE.2011(v1.0)" xfId="484"/>
    <cellStyle name="20% - Акцент1 4" xfId="485"/>
    <cellStyle name="20% - Акцент1 4 2" xfId="486"/>
    <cellStyle name="20% - Акцент1 4 3" xfId="487"/>
    <cellStyle name="20% - Акцент1 4_46EE.2011(v1.0)" xfId="488"/>
    <cellStyle name="20% - Акцент1 5" xfId="489"/>
    <cellStyle name="20% - Акцент1 5 2" xfId="490"/>
    <cellStyle name="20% - Акцент1 5 3" xfId="491"/>
    <cellStyle name="20% - Акцент1 5_46EE.2011(v1.0)" xfId="492"/>
    <cellStyle name="20% - Акцент1 6" xfId="493"/>
    <cellStyle name="20% - Акцент1 6 2" xfId="494"/>
    <cellStyle name="20% - Акцент1 6 3" xfId="495"/>
    <cellStyle name="20% - Акцент1 6_46EE.2011(v1.0)" xfId="496"/>
    <cellStyle name="20% - Акцент1 7" xfId="497"/>
    <cellStyle name="20% - Акцент1 7 2" xfId="498"/>
    <cellStyle name="20% - Акцент1 7 3" xfId="499"/>
    <cellStyle name="20% - Акцент1 7_46EE.2011(v1.0)" xfId="500"/>
    <cellStyle name="20% - Акцент1 8" xfId="501"/>
    <cellStyle name="20% - Акцент1 8 2" xfId="502"/>
    <cellStyle name="20% - Акцент1 8 3" xfId="503"/>
    <cellStyle name="20% - Акцент1 8_46EE.2011(v1.0)" xfId="504"/>
    <cellStyle name="20% - Акцент1 9" xfId="505"/>
    <cellStyle name="20% - Акцент1 9 2" xfId="506"/>
    <cellStyle name="20% - Акцент1 9 3" xfId="507"/>
    <cellStyle name="20% - Акцент1 9_46EE.2011(v1.0)" xfId="508"/>
    <cellStyle name="20% - Акцент2 10" xfId="509"/>
    <cellStyle name="20% - Акцент2 2" xfId="510"/>
    <cellStyle name="20% - Акцент2 2 2" xfId="511"/>
    <cellStyle name="20% - Акцент2 2 3" xfId="512"/>
    <cellStyle name="20% - Акцент2 2_46EE.2011(v1.0)" xfId="513"/>
    <cellStyle name="20% - Акцент2 3" xfId="514"/>
    <cellStyle name="20% - Акцент2 3 2" xfId="515"/>
    <cellStyle name="20% - Акцент2 3 3" xfId="516"/>
    <cellStyle name="20% - Акцент2 3_46EE.2011(v1.0)" xfId="517"/>
    <cellStyle name="20% - Акцент2 4" xfId="518"/>
    <cellStyle name="20% - Акцент2 4 2" xfId="519"/>
    <cellStyle name="20% - Акцент2 4 3" xfId="520"/>
    <cellStyle name="20% - Акцент2 4_46EE.2011(v1.0)" xfId="521"/>
    <cellStyle name="20% - Акцент2 5" xfId="522"/>
    <cellStyle name="20% - Акцент2 5 2" xfId="523"/>
    <cellStyle name="20% - Акцент2 5 3" xfId="524"/>
    <cellStyle name="20% - Акцент2 5_46EE.2011(v1.0)" xfId="525"/>
    <cellStyle name="20% - Акцент2 6" xfId="526"/>
    <cellStyle name="20% - Акцент2 6 2" xfId="527"/>
    <cellStyle name="20% - Акцент2 6 3" xfId="528"/>
    <cellStyle name="20% - Акцент2 6_46EE.2011(v1.0)" xfId="529"/>
    <cellStyle name="20% - Акцент2 7" xfId="530"/>
    <cellStyle name="20% - Акцент2 7 2" xfId="531"/>
    <cellStyle name="20% - Акцент2 7 3" xfId="532"/>
    <cellStyle name="20% - Акцент2 7_46EE.2011(v1.0)" xfId="533"/>
    <cellStyle name="20% - Акцент2 8" xfId="534"/>
    <cellStyle name="20% - Акцент2 8 2" xfId="535"/>
    <cellStyle name="20% - Акцент2 8 3" xfId="536"/>
    <cellStyle name="20% - Акцент2 8_46EE.2011(v1.0)" xfId="537"/>
    <cellStyle name="20% - Акцент2 9" xfId="538"/>
    <cellStyle name="20% - Акцент2 9 2" xfId="539"/>
    <cellStyle name="20% - Акцент2 9 3" xfId="540"/>
    <cellStyle name="20% - Акцент2 9_46EE.2011(v1.0)" xfId="541"/>
    <cellStyle name="20% - Акцент3 10" xfId="542"/>
    <cellStyle name="20% - Акцент3 2" xfId="543"/>
    <cellStyle name="20% - Акцент3 2 2" xfId="544"/>
    <cellStyle name="20% - Акцент3 2 3" xfId="545"/>
    <cellStyle name="20% - Акцент3 2_46EE.2011(v1.0)" xfId="546"/>
    <cellStyle name="20% - Акцент3 3" xfId="547"/>
    <cellStyle name="20% - Акцент3 3 2" xfId="548"/>
    <cellStyle name="20% - Акцент3 3 3" xfId="549"/>
    <cellStyle name="20% - Акцент3 3_46EE.2011(v1.0)" xfId="550"/>
    <cellStyle name="20% - Акцент3 4" xfId="551"/>
    <cellStyle name="20% - Акцент3 4 2" xfId="552"/>
    <cellStyle name="20% - Акцент3 4 3" xfId="553"/>
    <cellStyle name="20% - Акцент3 4_46EE.2011(v1.0)" xfId="554"/>
    <cellStyle name="20% - Акцент3 5" xfId="555"/>
    <cellStyle name="20% - Акцент3 5 2" xfId="556"/>
    <cellStyle name="20% - Акцент3 5 3" xfId="557"/>
    <cellStyle name="20% - Акцент3 5_46EE.2011(v1.0)" xfId="558"/>
    <cellStyle name="20% - Акцент3 6" xfId="559"/>
    <cellStyle name="20% - Акцент3 6 2" xfId="560"/>
    <cellStyle name="20% - Акцент3 6 3" xfId="561"/>
    <cellStyle name="20% - Акцент3 6_46EE.2011(v1.0)" xfId="562"/>
    <cellStyle name="20% - Акцент3 7" xfId="563"/>
    <cellStyle name="20% - Акцент3 7 2" xfId="564"/>
    <cellStyle name="20% - Акцент3 7 3" xfId="565"/>
    <cellStyle name="20% - Акцент3 7_46EE.2011(v1.0)" xfId="566"/>
    <cellStyle name="20% - Акцент3 8" xfId="567"/>
    <cellStyle name="20% - Акцент3 8 2" xfId="568"/>
    <cellStyle name="20% - Акцент3 8 3" xfId="569"/>
    <cellStyle name="20% - Акцент3 8_46EE.2011(v1.0)" xfId="570"/>
    <cellStyle name="20% - Акцент3 9" xfId="571"/>
    <cellStyle name="20% - Акцент3 9 2" xfId="572"/>
    <cellStyle name="20% - Акцент3 9 3" xfId="573"/>
    <cellStyle name="20% - Акцент3 9_46EE.2011(v1.0)" xfId="574"/>
    <cellStyle name="20% - Акцент4 10" xfId="575"/>
    <cellStyle name="20% - Акцент4 2" xfId="576"/>
    <cellStyle name="20% - Акцент4 2 2" xfId="577"/>
    <cellStyle name="20% - Акцент4 2 3" xfId="578"/>
    <cellStyle name="20% - Акцент4 2_46EE.2011(v1.0)" xfId="579"/>
    <cellStyle name="20% - Акцент4 3" xfId="580"/>
    <cellStyle name="20% - Акцент4 3 2" xfId="581"/>
    <cellStyle name="20% - Акцент4 3 3" xfId="582"/>
    <cellStyle name="20% - Акцент4 3_46EE.2011(v1.0)" xfId="583"/>
    <cellStyle name="20% - Акцент4 4" xfId="584"/>
    <cellStyle name="20% - Акцент4 4 2" xfId="585"/>
    <cellStyle name="20% - Акцент4 4 3" xfId="586"/>
    <cellStyle name="20% - Акцент4 4_46EE.2011(v1.0)" xfId="587"/>
    <cellStyle name="20% - Акцент4 5" xfId="588"/>
    <cellStyle name="20% - Акцент4 5 2" xfId="589"/>
    <cellStyle name="20% - Акцент4 5 3" xfId="590"/>
    <cellStyle name="20% - Акцент4 5_46EE.2011(v1.0)" xfId="591"/>
    <cellStyle name="20% - Акцент4 6" xfId="592"/>
    <cellStyle name="20% - Акцент4 6 2" xfId="593"/>
    <cellStyle name="20% - Акцент4 6 3" xfId="594"/>
    <cellStyle name="20% - Акцент4 6_46EE.2011(v1.0)" xfId="595"/>
    <cellStyle name="20% - Акцент4 7" xfId="596"/>
    <cellStyle name="20% - Акцент4 7 2" xfId="597"/>
    <cellStyle name="20% - Акцент4 7 3" xfId="598"/>
    <cellStyle name="20% - Акцент4 7_46EE.2011(v1.0)" xfId="599"/>
    <cellStyle name="20% - Акцент4 8" xfId="600"/>
    <cellStyle name="20% - Акцент4 8 2" xfId="601"/>
    <cellStyle name="20% - Акцент4 8 3" xfId="602"/>
    <cellStyle name="20% - Акцент4 8_46EE.2011(v1.0)" xfId="603"/>
    <cellStyle name="20% - Акцент4 9" xfId="604"/>
    <cellStyle name="20% - Акцент4 9 2" xfId="605"/>
    <cellStyle name="20% - Акцент4 9 3" xfId="606"/>
    <cellStyle name="20% - Акцент4 9_46EE.2011(v1.0)" xfId="607"/>
    <cellStyle name="20% - Акцент5 10" xfId="608"/>
    <cellStyle name="20% - Акцент5 2" xfId="609"/>
    <cellStyle name="20% - Акцент5 2 2" xfId="610"/>
    <cellStyle name="20% - Акцент5 2 3" xfId="611"/>
    <cellStyle name="20% - Акцент5 2_46EE.2011(v1.0)" xfId="612"/>
    <cellStyle name="20% - Акцент5 3" xfId="613"/>
    <cellStyle name="20% - Акцент5 3 2" xfId="614"/>
    <cellStyle name="20% - Акцент5 3 3" xfId="615"/>
    <cellStyle name="20% - Акцент5 3_46EE.2011(v1.0)" xfId="616"/>
    <cellStyle name="20% - Акцент5 4" xfId="617"/>
    <cellStyle name="20% - Акцент5 4 2" xfId="618"/>
    <cellStyle name="20% - Акцент5 4 3" xfId="619"/>
    <cellStyle name="20% - Акцент5 4_46EE.2011(v1.0)" xfId="620"/>
    <cellStyle name="20% - Акцент5 5" xfId="621"/>
    <cellStyle name="20% - Акцент5 5 2" xfId="622"/>
    <cellStyle name="20% - Акцент5 5 3" xfId="623"/>
    <cellStyle name="20% - Акцент5 5_46EE.2011(v1.0)" xfId="624"/>
    <cellStyle name="20% - Акцент5 6" xfId="625"/>
    <cellStyle name="20% - Акцент5 6 2" xfId="626"/>
    <cellStyle name="20% - Акцент5 6 3" xfId="627"/>
    <cellStyle name="20% - Акцент5 6_46EE.2011(v1.0)" xfId="628"/>
    <cellStyle name="20% - Акцент5 7" xfId="629"/>
    <cellStyle name="20% - Акцент5 7 2" xfId="630"/>
    <cellStyle name="20% - Акцент5 7 3" xfId="631"/>
    <cellStyle name="20% - Акцент5 7_46EE.2011(v1.0)" xfId="632"/>
    <cellStyle name="20% - Акцент5 8" xfId="633"/>
    <cellStyle name="20% - Акцент5 8 2" xfId="634"/>
    <cellStyle name="20% - Акцент5 8 3" xfId="635"/>
    <cellStyle name="20% - Акцент5 8_46EE.2011(v1.0)" xfId="636"/>
    <cellStyle name="20% - Акцент5 9" xfId="637"/>
    <cellStyle name="20% - Акцент5 9 2" xfId="638"/>
    <cellStyle name="20% - Акцент5 9 3" xfId="639"/>
    <cellStyle name="20% - Акцент5 9_46EE.2011(v1.0)" xfId="640"/>
    <cellStyle name="20% - Акцент6 10" xfId="641"/>
    <cellStyle name="20% - Акцент6 2" xfId="642"/>
    <cellStyle name="20% - Акцент6 2 2" xfId="643"/>
    <cellStyle name="20% - Акцент6 2 3" xfId="644"/>
    <cellStyle name="20% - Акцент6 2_46EE.2011(v1.0)" xfId="645"/>
    <cellStyle name="20% - Акцент6 3" xfId="646"/>
    <cellStyle name="20% - Акцент6 3 2" xfId="647"/>
    <cellStyle name="20% - Акцент6 3 3" xfId="648"/>
    <cellStyle name="20% - Акцент6 3_46EE.2011(v1.0)" xfId="649"/>
    <cellStyle name="20% - Акцент6 4" xfId="650"/>
    <cellStyle name="20% - Акцент6 4 2" xfId="651"/>
    <cellStyle name="20% - Акцент6 4 3" xfId="652"/>
    <cellStyle name="20% - Акцент6 4_46EE.2011(v1.0)" xfId="653"/>
    <cellStyle name="20% - Акцент6 5" xfId="654"/>
    <cellStyle name="20% - Акцент6 5 2" xfId="655"/>
    <cellStyle name="20% - Акцент6 5 3" xfId="656"/>
    <cellStyle name="20% - Акцент6 5_46EE.2011(v1.0)" xfId="657"/>
    <cellStyle name="20% - Акцент6 6" xfId="658"/>
    <cellStyle name="20% - Акцент6 6 2" xfId="659"/>
    <cellStyle name="20% - Акцент6 6 3" xfId="660"/>
    <cellStyle name="20% - Акцент6 6_46EE.2011(v1.0)" xfId="661"/>
    <cellStyle name="20% - Акцент6 7" xfId="662"/>
    <cellStyle name="20% - Акцент6 7 2" xfId="663"/>
    <cellStyle name="20% - Акцент6 7 3" xfId="664"/>
    <cellStyle name="20% - Акцент6 7_46EE.2011(v1.0)" xfId="665"/>
    <cellStyle name="20% - Акцент6 8" xfId="666"/>
    <cellStyle name="20% - Акцент6 8 2" xfId="667"/>
    <cellStyle name="20% - Акцент6 8 3" xfId="668"/>
    <cellStyle name="20% - Акцент6 8_46EE.2011(v1.0)" xfId="669"/>
    <cellStyle name="20% - Акцент6 9" xfId="670"/>
    <cellStyle name="20% - Акцент6 9 2" xfId="671"/>
    <cellStyle name="20% - Акцент6 9 3" xfId="672"/>
    <cellStyle name="20% - Акцент6 9_46EE.2011(v1.0)" xfId="673"/>
    <cellStyle name="40% - Accent1" xfId="674"/>
    <cellStyle name="40% - Accent1 2" xfId="675"/>
    <cellStyle name="40% - Accent1 3" xfId="676"/>
    <cellStyle name="40% - Accent1_46EE.2011(v1.0)" xfId="677"/>
    <cellStyle name="40% - Accent2" xfId="678"/>
    <cellStyle name="40% - Accent2 2" xfId="679"/>
    <cellStyle name="40% - Accent2 3" xfId="680"/>
    <cellStyle name="40% - Accent2_46EE.2011(v1.0)" xfId="681"/>
    <cellStyle name="40% - Accent3" xfId="682"/>
    <cellStyle name="40% - Accent3 2" xfId="683"/>
    <cellStyle name="40% - Accent3 3" xfId="684"/>
    <cellStyle name="40% - Accent3_46EE.2011(v1.0)" xfId="685"/>
    <cellStyle name="40% - Accent4" xfId="686"/>
    <cellStyle name="40% - Accent4 2" xfId="687"/>
    <cellStyle name="40% - Accent4 3" xfId="688"/>
    <cellStyle name="40% - Accent4_46EE.2011(v1.0)" xfId="689"/>
    <cellStyle name="40% - Accent5" xfId="690"/>
    <cellStyle name="40% - Accent5 2" xfId="691"/>
    <cellStyle name="40% - Accent5 3" xfId="692"/>
    <cellStyle name="40% - Accent5_46EE.2011(v1.0)" xfId="693"/>
    <cellStyle name="40% - Accent6" xfId="694"/>
    <cellStyle name="40% - Accent6 2" xfId="695"/>
    <cellStyle name="40% - Accent6 3" xfId="696"/>
    <cellStyle name="40% - Accent6_46EE.2011(v1.0)" xfId="697"/>
    <cellStyle name="40% - Акцент1 10" xfId="698"/>
    <cellStyle name="40% - Акцент1 2" xfId="699"/>
    <cellStyle name="40% - Акцент1 2 2" xfId="700"/>
    <cellStyle name="40% - Акцент1 2 3" xfId="701"/>
    <cellStyle name="40% - Акцент1 2_46EE.2011(v1.0)" xfId="702"/>
    <cellStyle name="40% - Акцент1 3" xfId="703"/>
    <cellStyle name="40% - Акцент1 3 2" xfId="704"/>
    <cellStyle name="40% - Акцент1 3 3" xfId="705"/>
    <cellStyle name="40% - Акцент1 3_46EE.2011(v1.0)" xfId="706"/>
    <cellStyle name="40% - Акцент1 4" xfId="707"/>
    <cellStyle name="40% - Акцент1 4 2" xfId="708"/>
    <cellStyle name="40% - Акцент1 4 3" xfId="709"/>
    <cellStyle name="40% - Акцент1 4_46EE.2011(v1.0)" xfId="710"/>
    <cellStyle name="40% - Акцент1 5" xfId="711"/>
    <cellStyle name="40% - Акцент1 5 2" xfId="712"/>
    <cellStyle name="40% - Акцент1 5 3" xfId="713"/>
    <cellStyle name="40% - Акцент1 5_46EE.2011(v1.0)" xfId="714"/>
    <cellStyle name="40% - Акцент1 6" xfId="715"/>
    <cellStyle name="40% - Акцент1 6 2" xfId="716"/>
    <cellStyle name="40% - Акцент1 6 3" xfId="717"/>
    <cellStyle name="40% - Акцент1 6_46EE.2011(v1.0)" xfId="718"/>
    <cellStyle name="40% - Акцент1 7" xfId="719"/>
    <cellStyle name="40% - Акцент1 7 2" xfId="720"/>
    <cellStyle name="40% - Акцент1 7 3" xfId="721"/>
    <cellStyle name="40% - Акцент1 7_46EE.2011(v1.0)" xfId="722"/>
    <cellStyle name="40% - Акцент1 8" xfId="723"/>
    <cellStyle name="40% - Акцент1 8 2" xfId="724"/>
    <cellStyle name="40% - Акцент1 8 3" xfId="725"/>
    <cellStyle name="40% - Акцент1 8_46EE.2011(v1.0)" xfId="726"/>
    <cellStyle name="40% - Акцент1 9" xfId="727"/>
    <cellStyle name="40% - Акцент1 9 2" xfId="728"/>
    <cellStyle name="40% - Акцент1 9 3" xfId="729"/>
    <cellStyle name="40% - Акцент1 9_46EE.2011(v1.0)" xfId="730"/>
    <cellStyle name="40% - Акцент2 10" xfId="731"/>
    <cellStyle name="40% - Акцент2 2" xfId="732"/>
    <cellStyle name="40% - Акцент2 2 2" xfId="733"/>
    <cellStyle name="40% - Акцент2 2 3" xfId="734"/>
    <cellStyle name="40% - Акцент2 2_46EE.2011(v1.0)" xfId="735"/>
    <cellStyle name="40% - Акцент2 3" xfId="736"/>
    <cellStyle name="40% - Акцент2 3 2" xfId="737"/>
    <cellStyle name="40% - Акцент2 3 3" xfId="738"/>
    <cellStyle name="40% - Акцент2 3_46EE.2011(v1.0)" xfId="739"/>
    <cellStyle name="40% - Акцент2 4" xfId="740"/>
    <cellStyle name="40% - Акцент2 4 2" xfId="741"/>
    <cellStyle name="40% - Акцент2 4 3" xfId="742"/>
    <cellStyle name="40% - Акцент2 4_46EE.2011(v1.0)" xfId="743"/>
    <cellStyle name="40% - Акцент2 5" xfId="744"/>
    <cellStyle name="40% - Акцент2 5 2" xfId="745"/>
    <cellStyle name="40% - Акцент2 5 3" xfId="746"/>
    <cellStyle name="40% - Акцент2 5_46EE.2011(v1.0)" xfId="747"/>
    <cellStyle name="40% - Акцент2 6" xfId="748"/>
    <cellStyle name="40% - Акцент2 6 2" xfId="749"/>
    <cellStyle name="40% - Акцент2 6 3" xfId="750"/>
    <cellStyle name="40% - Акцент2 6_46EE.2011(v1.0)" xfId="751"/>
    <cellStyle name="40% - Акцент2 7" xfId="752"/>
    <cellStyle name="40% - Акцент2 7 2" xfId="753"/>
    <cellStyle name="40% - Акцент2 7 3" xfId="754"/>
    <cellStyle name="40% - Акцент2 7_46EE.2011(v1.0)" xfId="755"/>
    <cellStyle name="40% - Акцент2 8" xfId="756"/>
    <cellStyle name="40% - Акцент2 8 2" xfId="757"/>
    <cellStyle name="40% - Акцент2 8 3" xfId="758"/>
    <cellStyle name="40% - Акцент2 8_46EE.2011(v1.0)" xfId="759"/>
    <cellStyle name="40% - Акцент2 9" xfId="760"/>
    <cellStyle name="40% - Акцент2 9 2" xfId="761"/>
    <cellStyle name="40% - Акцент2 9 3" xfId="762"/>
    <cellStyle name="40% - Акцент2 9_46EE.2011(v1.0)" xfId="763"/>
    <cellStyle name="40% - Акцент3 10" xfId="764"/>
    <cellStyle name="40% - Акцент3 2" xfId="765"/>
    <cellStyle name="40% - Акцент3 2 2" xfId="766"/>
    <cellStyle name="40% - Акцент3 2 3" xfId="767"/>
    <cellStyle name="40% - Акцент3 2_46EE.2011(v1.0)" xfId="768"/>
    <cellStyle name="40% - Акцент3 3" xfId="769"/>
    <cellStyle name="40% - Акцент3 3 2" xfId="770"/>
    <cellStyle name="40% - Акцент3 3 3" xfId="771"/>
    <cellStyle name="40% - Акцент3 3_46EE.2011(v1.0)" xfId="772"/>
    <cellStyle name="40% - Акцент3 4" xfId="773"/>
    <cellStyle name="40% - Акцент3 4 2" xfId="774"/>
    <cellStyle name="40% - Акцент3 4 3" xfId="775"/>
    <cellStyle name="40% - Акцент3 4_46EE.2011(v1.0)" xfId="776"/>
    <cellStyle name="40% - Акцент3 5" xfId="777"/>
    <cellStyle name="40% - Акцент3 5 2" xfId="778"/>
    <cellStyle name="40% - Акцент3 5 3" xfId="779"/>
    <cellStyle name="40% - Акцент3 5_46EE.2011(v1.0)" xfId="780"/>
    <cellStyle name="40% - Акцент3 6" xfId="781"/>
    <cellStyle name="40% - Акцент3 6 2" xfId="782"/>
    <cellStyle name="40% - Акцент3 6 3" xfId="783"/>
    <cellStyle name="40% - Акцент3 6_46EE.2011(v1.0)" xfId="784"/>
    <cellStyle name="40% - Акцент3 7" xfId="785"/>
    <cellStyle name="40% - Акцент3 7 2" xfId="786"/>
    <cellStyle name="40% - Акцент3 7 3" xfId="787"/>
    <cellStyle name="40% - Акцент3 7_46EE.2011(v1.0)" xfId="788"/>
    <cellStyle name="40% - Акцент3 8" xfId="789"/>
    <cellStyle name="40% - Акцент3 8 2" xfId="790"/>
    <cellStyle name="40% - Акцент3 8 3" xfId="791"/>
    <cellStyle name="40% - Акцент3 8_46EE.2011(v1.0)" xfId="792"/>
    <cellStyle name="40% - Акцент3 9" xfId="793"/>
    <cellStyle name="40% - Акцент3 9 2" xfId="794"/>
    <cellStyle name="40% - Акцент3 9 3" xfId="795"/>
    <cellStyle name="40% - Акцент3 9_46EE.2011(v1.0)" xfId="796"/>
    <cellStyle name="40% - Акцент4 10" xfId="797"/>
    <cellStyle name="40% - Акцент4 2" xfId="798"/>
    <cellStyle name="40% - Акцент4 2 2" xfId="799"/>
    <cellStyle name="40% - Акцент4 2 3" xfId="800"/>
    <cellStyle name="40% - Акцент4 2_46EE.2011(v1.0)" xfId="801"/>
    <cellStyle name="40% - Акцент4 3" xfId="802"/>
    <cellStyle name="40% - Акцент4 3 2" xfId="803"/>
    <cellStyle name="40% - Акцент4 3 3" xfId="804"/>
    <cellStyle name="40% - Акцент4 3_46EE.2011(v1.0)" xfId="805"/>
    <cellStyle name="40% - Акцент4 4" xfId="806"/>
    <cellStyle name="40% - Акцент4 4 2" xfId="807"/>
    <cellStyle name="40% - Акцент4 4 3" xfId="808"/>
    <cellStyle name="40% - Акцент4 4_46EE.2011(v1.0)" xfId="809"/>
    <cellStyle name="40% - Акцент4 5" xfId="810"/>
    <cellStyle name="40% - Акцент4 5 2" xfId="811"/>
    <cellStyle name="40% - Акцент4 5 3" xfId="812"/>
    <cellStyle name="40% - Акцент4 5_46EE.2011(v1.0)" xfId="813"/>
    <cellStyle name="40% - Акцент4 6" xfId="814"/>
    <cellStyle name="40% - Акцент4 6 2" xfId="815"/>
    <cellStyle name="40% - Акцент4 6 3" xfId="816"/>
    <cellStyle name="40% - Акцент4 6_46EE.2011(v1.0)" xfId="817"/>
    <cellStyle name="40% - Акцент4 7" xfId="818"/>
    <cellStyle name="40% - Акцент4 7 2" xfId="819"/>
    <cellStyle name="40% - Акцент4 7 3" xfId="820"/>
    <cellStyle name="40% - Акцент4 7_46EE.2011(v1.0)" xfId="821"/>
    <cellStyle name="40% - Акцент4 8" xfId="822"/>
    <cellStyle name="40% - Акцент4 8 2" xfId="823"/>
    <cellStyle name="40% - Акцент4 8 3" xfId="824"/>
    <cellStyle name="40% - Акцент4 8_46EE.2011(v1.0)" xfId="825"/>
    <cellStyle name="40% - Акцент4 9" xfId="826"/>
    <cellStyle name="40% - Акцент4 9 2" xfId="827"/>
    <cellStyle name="40% - Акцент4 9 3" xfId="828"/>
    <cellStyle name="40% - Акцент4 9_46EE.2011(v1.0)" xfId="829"/>
    <cellStyle name="40% - Акцент5 10" xfId="830"/>
    <cellStyle name="40% - Акцент5 2" xfId="831"/>
    <cellStyle name="40% - Акцент5 2 2" xfId="832"/>
    <cellStyle name="40% - Акцент5 2 3" xfId="833"/>
    <cellStyle name="40% - Акцент5 2_46EE.2011(v1.0)" xfId="834"/>
    <cellStyle name="40% - Акцент5 3" xfId="835"/>
    <cellStyle name="40% - Акцент5 3 2" xfId="836"/>
    <cellStyle name="40% - Акцент5 3 3" xfId="837"/>
    <cellStyle name="40% - Акцент5 3_46EE.2011(v1.0)" xfId="838"/>
    <cellStyle name="40% - Акцент5 4" xfId="839"/>
    <cellStyle name="40% - Акцент5 4 2" xfId="840"/>
    <cellStyle name="40% - Акцент5 4 3" xfId="841"/>
    <cellStyle name="40% - Акцент5 4_46EE.2011(v1.0)" xfId="842"/>
    <cellStyle name="40% - Акцент5 5" xfId="843"/>
    <cellStyle name="40% - Акцент5 5 2" xfId="844"/>
    <cellStyle name="40% - Акцент5 5 3" xfId="845"/>
    <cellStyle name="40% - Акцент5 5_46EE.2011(v1.0)" xfId="846"/>
    <cellStyle name="40% - Акцент5 6" xfId="847"/>
    <cellStyle name="40% - Акцент5 6 2" xfId="848"/>
    <cellStyle name="40% - Акцент5 6 3" xfId="849"/>
    <cellStyle name="40% - Акцент5 6_46EE.2011(v1.0)" xfId="850"/>
    <cellStyle name="40% - Акцент5 7" xfId="851"/>
    <cellStyle name="40% - Акцент5 7 2" xfId="852"/>
    <cellStyle name="40% - Акцент5 7 3" xfId="853"/>
    <cellStyle name="40% - Акцент5 7_46EE.2011(v1.0)" xfId="854"/>
    <cellStyle name="40% - Акцент5 8" xfId="855"/>
    <cellStyle name="40% - Акцент5 8 2" xfId="856"/>
    <cellStyle name="40% - Акцент5 8 3" xfId="857"/>
    <cellStyle name="40% - Акцент5 8_46EE.2011(v1.0)" xfId="858"/>
    <cellStyle name="40% - Акцент5 9" xfId="859"/>
    <cellStyle name="40% - Акцент5 9 2" xfId="860"/>
    <cellStyle name="40% - Акцент5 9 3" xfId="861"/>
    <cellStyle name="40% - Акцент5 9_46EE.2011(v1.0)" xfId="862"/>
    <cellStyle name="40% - Акцент6 10" xfId="863"/>
    <cellStyle name="40% - Акцент6 2" xfId="864"/>
    <cellStyle name="40% - Акцент6 2 2" xfId="865"/>
    <cellStyle name="40% - Акцент6 2 3" xfId="866"/>
    <cellStyle name="40% - Акцент6 2_46EE.2011(v1.0)" xfId="867"/>
    <cellStyle name="40% - Акцент6 3" xfId="868"/>
    <cellStyle name="40% - Акцент6 3 2" xfId="869"/>
    <cellStyle name="40% - Акцент6 3 3" xfId="870"/>
    <cellStyle name="40% - Акцент6 3_46EE.2011(v1.0)" xfId="871"/>
    <cellStyle name="40% - Акцент6 4" xfId="872"/>
    <cellStyle name="40% - Акцент6 4 2" xfId="873"/>
    <cellStyle name="40% - Акцент6 4 3" xfId="874"/>
    <cellStyle name="40% - Акцент6 4_46EE.2011(v1.0)" xfId="875"/>
    <cellStyle name="40% - Акцент6 5" xfId="876"/>
    <cellStyle name="40% - Акцент6 5 2" xfId="877"/>
    <cellStyle name="40% - Акцент6 5 3" xfId="878"/>
    <cellStyle name="40% - Акцент6 5_46EE.2011(v1.0)" xfId="879"/>
    <cellStyle name="40% - Акцент6 6" xfId="880"/>
    <cellStyle name="40% - Акцент6 6 2" xfId="881"/>
    <cellStyle name="40% - Акцент6 6 3" xfId="882"/>
    <cellStyle name="40% - Акцент6 6_46EE.2011(v1.0)" xfId="883"/>
    <cellStyle name="40% - Акцент6 7" xfId="884"/>
    <cellStyle name="40% - Акцент6 7 2" xfId="885"/>
    <cellStyle name="40% - Акцент6 7 3" xfId="886"/>
    <cellStyle name="40% - Акцент6 7_46EE.2011(v1.0)" xfId="887"/>
    <cellStyle name="40% - Акцент6 8" xfId="888"/>
    <cellStyle name="40% - Акцент6 8 2" xfId="889"/>
    <cellStyle name="40% - Акцент6 8 3" xfId="890"/>
    <cellStyle name="40% - Акцент6 8_46EE.2011(v1.0)" xfId="891"/>
    <cellStyle name="40% - Акцент6 9" xfId="892"/>
    <cellStyle name="40% - Акцент6 9 2" xfId="893"/>
    <cellStyle name="40% - Акцент6 9 3" xfId="894"/>
    <cellStyle name="40% - Акцент6 9_46EE.2011(v1.0)" xfId="895"/>
    <cellStyle name="60% - Accent1" xfId="896"/>
    <cellStyle name="60% - Accent2" xfId="897"/>
    <cellStyle name="60% - Accent3" xfId="898"/>
    <cellStyle name="60% - Accent4" xfId="899"/>
    <cellStyle name="60% - Accent5" xfId="900"/>
    <cellStyle name="60% - Accent6" xfId="901"/>
    <cellStyle name="60% - Акцент1 2" xfId="902"/>
    <cellStyle name="60% - Акцент1 2 2" xfId="903"/>
    <cellStyle name="60% - Акцент1 3" xfId="904"/>
    <cellStyle name="60% - Акцент1 3 2" xfId="905"/>
    <cellStyle name="60% - Акцент1 4" xfId="906"/>
    <cellStyle name="60% - Акцент1 4 2" xfId="907"/>
    <cellStyle name="60% - Акцент1 5" xfId="908"/>
    <cellStyle name="60% - Акцент1 5 2" xfId="909"/>
    <cellStyle name="60% - Акцент1 6" xfId="910"/>
    <cellStyle name="60% - Акцент1 6 2" xfId="911"/>
    <cellStyle name="60% - Акцент1 7" xfId="912"/>
    <cellStyle name="60% - Акцент1 7 2" xfId="913"/>
    <cellStyle name="60% - Акцент1 8" xfId="914"/>
    <cellStyle name="60% - Акцент1 8 2" xfId="915"/>
    <cellStyle name="60% - Акцент1 9" xfId="916"/>
    <cellStyle name="60% - Акцент1 9 2" xfId="917"/>
    <cellStyle name="60% - Акцент2 2" xfId="918"/>
    <cellStyle name="60% - Акцент2 2 2" xfId="919"/>
    <cellStyle name="60% - Акцент2 3" xfId="920"/>
    <cellStyle name="60% - Акцент2 3 2" xfId="921"/>
    <cellStyle name="60% - Акцент2 4" xfId="922"/>
    <cellStyle name="60% - Акцент2 4 2" xfId="923"/>
    <cellStyle name="60% - Акцент2 5" xfId="924"/>
    <cellStyle name="60% - Акцент2 5 2" xfId="925"/>
    <cellStyle name="60% - Акцент2 6" xfId="926"/>
    <cellStyle name="60% - Акцент2 6 2" xfId="927"/>
    <cellStyle name="60% - Акцент2 7" xfId="928"/>
    <cellStyle name="60% - Акцент2 7 2" xfId="929"/>
    <cellStyle name="60% - Акцент2 8" xfId="930"/>
    <cellStyle name="60% - Акцент2 8 2" xfId="931"/>
    <cellStyle name="60% - Акцент2 9" xfId="932"/>
    <cellStyle name="60% - Акцент2 9 2" xfId="933"/>
    <cellStyle name="60% - Акцент3 2" xfId="934"/>
    <cellStyle name="60% - Акцент3 2 2" xfId="935"/>
    <cellStyle name="60% - Акцент3 3" xfId="936"/>
    <cellStyle name="60% - Акцент3 3 2" xfId="937"/>
    <cellStyle name="60% - Акцент3 4" xfId="938"/>
    <cellStyle name="60% - Акцент3 4 2" xfId="939"/>
    <cellStyle name="60% - Акцент3 5" xfId="940"/>
    <cellStyle name="60% - Акцент3 5 2" xfId="941"/>
    <cellStyle name="60% - Акцент3 6" xfId="942"/>
    <cellStyle name="60% - Акцент3 6 2" xfId="943"/>
    <cellStyle name="60% - Акцент3 7" xfId="944"/>
    <cellStyle name="60% - Акцент3 7 2" xfId="945"/>
    <cellStyle name="60% - Акцент3 8" xfId="946"/>
    <cellStyle name="60% - Акцент3 8 2" xfId="947"/>
    <cellStyle name="60% - Акцент3 9" xfId="948"/>
    <cellStyle name="60% - Акцент3 9 2" xfId="949"/>
    <cellStyle name="60% - Акцент4 2" xfId="950"/>
    <cellStyle name="60% - Акцент4 2 2" xfId="951"/>
    <cellStyle name="60% - Акцент4 3" xfId="952"/>
    <cellStyle name="60% - Акцент4 3 2" xfId="953"/>
    <cellStyle name="60% - Акцент4 4" xfId="954"/>
    <cellStyle name="60% - Акцент4 4 2" xfId="955"/>
    <cellStyle name="60% - Акцент4 5" xfId="956"/>
    <cellStyle name="60% - Акцент4 5 2" xfId="957"/>
    <cellStyle name="60% - Акцент4 6" xfId="958"/>
    <cellStyle name="60% - Акцент4 6 2" xfId="959"/>
    <cellStyle name="60% - Акцент4 7" xfId="960"/>
    <cellStyle name="60% - Акцент4 7 2" xfId="961"/>
    <cellStyle name="60% - Акцент4 8" xfId="962"/>
    <cellStyle name="60% - Акцент4 8 2" xfId="963"/>
    <cellStyle name="60% - Акцент4 9" xfId="964"/>
    <cellStyle name="60% - Акцент4 9 2" xfId="965"/>
    <cellStyle name="60% - Акцент5 2" xfId="966"/>
    <cellStyle name="60% - Акцент5 2 2" xfId="967"/>
    <cellStyle name="60% - Акцент5 3" xfId="968"/>
    <cellStyle name="60% - Акцент5 3 2" xfId="969"/>
    <cellStyle name="60% - Акцент5 4" xfId="970"/>
    <cellStyle name="60% - Акцент5 4 2" xfId="971"/>
    <cellStyle name="60% - Акцент5 5" xfId="972"/>
    <cellStyle name="60% - Акцент5 5 2" xfId="973"/>
    <cellStyle name="60% - Акцент5 6" xfId="974"/>
    <cellStyle name="60% - Акцент5 6 2" xfId="975"/>
    <cellStyle name="60% - Акцент5 7" xfId="976"/>
    <cellStyle name="60% - Акцент5 7 2" xfId="977"/>
    <cellStyle name="60% - Акцент5 8" xfId="978"/>
    <cellStyle name="60% - Акцент5 8 2" xfId="979"/>
    <cellStyle name="60% - Акцент5 9" xfId="980"/>
    <cellStyle name="60% - Акцент5 9 2" xfId="981"/>
    <cellStyle name="60% - Акцент6 2" xfId="982"/>
    <cellStyle name="60% - Акцент6 2 2" xfId="983"/>
    <cellStyle name="60% - Акцент6 3" xfId="984"/>
    <cellStyle name="60% - Акцент6 3 2" xfId="985"/>
    <cellStyle name="60% - Акцент6 4" xfId="986"/>
    <cellStyle name="60% - Акцент6 4 2" xfId="987"/>
    <cellStyle name="60% - Акцент6 5" xfId="988"/>
    <cellStyle name="60% - Акцент6 5 2" xfId="989"/>
    <cellStyle name="60% - Акцент6 6" xfId="990"/>
    <cellStyle name="60% - Акцент6 6 2" xfId="991"/>
    <cellStyle name="60% - Акцент6 7" xfId="992"/>
    <cellStyle name="60% - Акцент6 7 2" xfId="993"/>
    <cellStyle name="60% - Акцент6 8" xfId="994"/>
    <cellStyle name="60% - Акцент6 8 2" xfId="995"/>
    <cellStyle name="60% - Акцент6 9" xfId="996"/>
    <cellStyle name="60% - Акцент6 9 2" xfId="997"/>
    <cellStyle name="Accent1" xfId="998"/>
    <cellStyle name="Accent2" xfId="999"/>
    <cellStyle name="Accent3" xfId="1000"/>
    <cellStyle name="Accent4" xfId="1001"/>
    <cellStyle name="Accent5" xfId="1002"/>
    <cellStyle name="Accent6" xfId="1003"/>
    <cellStyle name="Ăčďĺđńńűëęŕ" xfId="1004"/>
    <cellStyle name="AFE" xfId="1005"/>
    <cellStyle name="Áĺççŕůčňíűé" xfId="1006"/>
    <cellStyle name="Äĺíĺćíűé [0]_(ňŕá 3č)" xfId="1007"/>
    <cellStyle name="Äĺíĺćíűé_(ňŕá 3č)" xfId="1008"/>
    <cellStyle name="Bad" xfId="1009"/>
    <cellStyle name="Blue" xfId="1010"/>
    <cellStyle name="Body_$Dollars" xfId="1011"/>
    <cellStyle name="Calculation" xfId="1012"/>
    <cellStyle name="Cells 2" xfId="1013"/>
    <cellStyle name="Check Cell" xfId="1014"/>
    <cellStyle name="Chek" xfId="1015"/>
    <cellStyle name="Comma [0]_Adjusted FS 1299" xfId="1016"/>
    <cellStyle name="Comma 0" xfId="1017"/>
    <cellStyle name="Comma 0*" xfId="1018"/>
    <cellStyle name="Comma 2" xfId="1019"/>
    <cellStyle name="Comma 3*" xfId="1020"/>
    <cellStyle name="Comma_Adjusted FS 1299" xfId="1021"/>
    <cellStyle name="Comma0" xfId="1022"/>
    <cellStyle name="Çŕůčňíűé" xfId="1023"/>
    <cellStyle name="Currency [0]" xfId="1024"/>
    <cellStyle name="Currency [0] 2" xfId="1025"/>
    <cellStyle name="Currency [0] 2 2" xfId="1026"/>
    <cellStyle name="Currency [0] 2 3" xfId="1027"/>
    <cellStyle name="Currency [0] 2 4" xfId="1028"/>
    <cellStyle name="Currency [0] 2 5" xfId="1029"/>
    <cellStyle name="Currency [0] 2 6" xfId="1030"/>
    <cellStyle name="Currency [0] 2 7" xfId="1031"/>
    <cellStyle name="Currency [0] 2 8" xfId="1032"/>
    <cellStyle name="Currency [0] 2 9" xfId="1033"/>
    <cellStyle name="Currency [0] 3" xfId="1034"/>
    <cellStyle name="Currency [0] 3 2" xfId="1035"/>
    <cellStyle name="Currency [0] 3 3" xfId="1036"/>
    <cellStyle name="Currency [0] 3 4" xfId="1037"/>
    <cellStyle name="Currency [0] 3 5" xfId="1038"/>
    <cellStyle name="Currency [0] 3 6" xfId="1039"/>
    <cellStyle name="Currency [0] 3 7" xfId="1040"/>
    <cellStyle name="Currency [0] 3 8" xfId="1041"/>
    <cellStyle name="Currency [0] 3 9" xfId="1042"/>
    <cellStyle name="Currency [0] 4" xfId="1043"/>
    <cellStyle name="Currency [0] 4 2" xfId="1044"/>
    <cellStyle name="Currency [0] 4 3" xfId="1045"/>
    <cellStyle name="Currency [0] 4 4" xfId="1046"/>
    <cellStyle name="Currency [0] 4 5" xfId="1047"/>
    <cellStyle name="Currency [0] 4 6" xfId="1048"/>
    <cellStyle name="Currency [0] 4 7" xfId="1049"/>
    <cellStyle name="Currency [0] 4 8" xfId="1050"/>
    <cellStyle name="Currency [0] 4 9" xfId="1051"/>
    <cellStyle name="Currency [0] 5" xfId="1052"/>
    <cellStyle name="Currency [0] 5 2" xfId="1053"/>
    <cellStyle name="Currency [0] 5 3" xfId="1054"/>
    <cellStyle name="Currency [0] 5 4" xfId="1055"/>
    <cellStyle name="Currency [0] 5 5" xfId="1056"/>
    <cellStyle name="Currency [0] 5 6" xfId="1057"/>
    <cellStyle name="Currency [0] 5 7" xfId="1058"/>
    <cellStyle name="Currency [0] 5 8" xfId="1059"/>
    <cellStyle name="Currency [0] 5 9" xfId="1060"/>
    <cellStyle name="Currency [0] 6" xfId="1061"/>
    <cellStyle name="Currency [0] 6 2" xfId="1062"/>
    <cellStyle name="Currency [0] 6 3" xfId="1063"/>
    <cellStyle name="Currency [0] 7" xfId="1064"/>
    <cellStyle name="Currency [0] 7 2" xfId="1065"/>
    <cellStyle name="Currency [0] 7 3" xfId="1066"/>
    <cellStyle name="Currency [0] 8" xfId="1067"/>
    <cellStyle name="Currency [0] 8 2" xfId="1068"/>
    <cellStyle name="Currency [0] 8 3" xfId="1069"/>
    <cellStyle name="Currency 0" xfId="1070"/>
    <cellStyle name="Currency 2" xfId="1071"/>
    <cellStyle name="Currency_06_9m" xfId="1072"/>
    <cellStyle name="Currency0" xfId="1073"/>
    <cellStyle name="Currency2" xfId="1074"/>
    <cellStyle name="Date" xfId="1075"/>
    <cellStyle name="Date Aligned" xfId="1076"/>
    <cellStyle name="Dates" xfId="1077"/>
    <cellStyle name="Dezimal [0]_NEGS" xfId="1078"/>
    <cellStyle name="Dezimal_NEGS" xfId="1079"/>
    <cellStyle name="Dotted Line" xfId="1080"/>
    <cellStyle name="E&amp;Y House" xfId="1081"/>
    <cellStyle name="E-mail" xfId="1082"/>
    <cellStyle name="E-mail 2" xfId="1083"/>
    <cellStyle name="E-mail_46EP.2012(v0.1)" xfId="1084"/>
    <cellStyle name="Euro" xfId="1085"/>
    <cellStyle name="ew" xfId="1086"/>
    <cellStyle name="Explanatory Text" xfId="1087"/>
    <cellStyle name="F2" xfId="1088"/>
    <cellStyle name="F3" xfId="1089"/>
    <cellStyle name="F4" xfId="1090"/>
    <cellStyle name="F5" xfId="1091"/>
    <cellStyle name="F6" xfId="1092"/>
    <cellStyle name="F7" xfId="1093"/>
    <cellStyle name="F8" xfId="1094"/>
    <cellStyle name="Fixed" xfId="1095"/>
    <cellStyle name="fo]_x000d__x000a_UserName=Murat Zelef_x000d__x000a_UserCompany=Bumerang_x000d__x000a__x000d__x000a_[File Paths]_x000d__x000a_WorkingDirectory=C:\EQUIS\DLWIN_x000d__x000a_DownLoader=C" xfId="1096"/>
    <cellStyle name="Followed Hyperlink" xfId="1097"/>
    <cellStyle name="Footnote" xfId="1098"/>
    <cellStyle name="Good" xfId="1099"/>
    <cellStyle name="hard no" xfId="1100"/>
    <cellStyle name="Hard Percent" xfId="1101"/>
    <cellStyle name="hardno" xfId="1102"/>
    <cellStyle name="Header" xfId="1103"/>
    <cellStyle name="Header 3" xfId="1104"/>
    <cellStyle name="Heading" xfId="1105"/>
    <cellStyle name="Heading 1" xfId="1106"/>
    <cellStyle name="Heading 2" xfId="1107"/>
    <cellStyle name="Heading 3" xfId="1108"/>
    <cellStyle name="Heading 4" xfId="1109"/>
    <cellStyle name="Heading_GP.ITOG.4.78(v1.0) - для разделения" xfId="1110"/>
    <cellStyle name="Heading2" xfId="1111"/>
    <cellStyle name="Heading2 2" xfId="1112"/>
    <cellStyle name="Heading2_46EP.2012(v0.1)" xfId="1113"/>
    <cellStyle name="Hyperlink" xfId="1114"/>
    <cellStyle name="Îáű÷íűé__FES" xfId="1115"/>
    <cellStyle name="Îáû÷íûé_cogs" xfId="1116"/>
    <cellStyle name="Îňęđűâŕâřŕ˙ń˙ ăčďĺđńńűëęŕ" xfId="1117"/>
    <cellStyle name="Info" xfId="1118"/>
    <cellStyle name="Input" xfId="1119"/>
    <cellStyle name="InputCurrency" xfId="1120"/>
    <cellStyle name="InputCurrency2" xfId="1121"/>
    <cellStyle name="InputMultiple1" xfId="1122"/>
    <cellStyle name="InputPercent1" xfId="1123"/>
    <cellStyle name="Inputs" xfId="1124"/>
    <cellStyle name="Inputs (const)" xfId="1125"/>
    <cellStyle name="Inputs (const) 2" xfId="1126"/>
    <cellStyle name="Inputs (const)_46EP.2012(v0.1)" xfId="1127"/>
    <cellStyle name="Inputs 2" xfId="1128"/>
    <cellStyle name="Inputs Co" xfId="1129"/>
    <cellStyle name="Inputs_46EE.2011(v1.0)" xfId="1130"/>
    <cellStyle name="Linked Cell" xfId="1131"/>
    <cellStyle name="Millares [0]_RESULTS" xfId="1132"/>
    <cellStyle name="Millares_RESULTS" xfId="1133"/>
    <cellStyle name="Milliers [0]_RESULTS" xfId="1134"/>
    <cellStyle name="Milliers_RESULTS" xfId="1135"/>
    <cellStyle name="mnb" xfId="1136"/>
    <cellStyle name="Moneda [0]_RESULTS" xfId="1137"/>
    <cellStyle name="Moneda_RESULTS" xfId="1138"/>
    <cellStyle name="Monétaire [0]_RESULTS" xfId="1139"/>
    <cellStyle name="Monétaire_RESULTS" xfId="1140"/>
    <cellStyle name="Multiple" xfId="1141"/>
    <cellStyle name="Multiple1" xfId="1142"/>
    <cellStyle name="MultipleBelow" xfId="1143"/>
    <cellStyle name="namber" xfId="1144"/>
    <cellStyle name="Neutral" xfId="1145"/>
    <cellStyle name="Norma11l" xfId="1146"/>
    <cellStyle name="normal" xfId="1147"/>
    <cellStyle name="Normal - Style1" xfId="1148"/>
    <cellStyle name="normal 10" xfId="1149"/>
    <cellStyle name="Normal 2" xfId="1150"/>
    <cellStyle name="Normal 2 2" xfId="1151"/>
    <cellStyle name="Normal 2 3" xfId="1152"/>
    <cellStyle name="normal 3" xfId="1153"/>
    <cellStyle name="normal 4" xfId="1154"/>
    <cellStyle name="normal 5" xfId="1155"/>
    <cellStyle name="normal 6" xfId="1156"/>
    <cellStyle name="normal 7" xfId="1157"/>
    <cellStyle name="normal 8" xfId="1158"/>
    <cellStyle name="normal 9" xfId="1159"/>
    <cellStyle name="Normal." xfId="1160"/>
    <cellStyle name="Normal_06_9m" xfId="1161"/>
    <cellStyle name="Normal1" xfId="1162"/>
    <cellStyle name="Normal2" xfId="1163"/>
    <cellStyle name="NormalGB" xfId="1164"/>
    <cellStyle name="Normalny_24. 02. 97." xfId="1165"/>
    <cellStyle name="normбlnм_laroux" xfId="1166"/>
    <cellStyle name="Note" xfId="1167"/>
    <cellStyle name="number" xfId="1168"/>
    <cellStyle name="Ôčíŕíńîâűé [0]_(ňŕá 3č)" xfId="1169"/>
    <cellStyle name="Ôčíŕíńîâűé_(ňŕá 3č)" xfId="1170"/>
    <cellStyle name="Option" xfId="1171"/>
    <cellStyle name="Òûñÿ÷è [0]_cogs" xfId="1172"/>
    <cellStyle name="Òûñÿ÷è_cogs" xfId="1173"/>
    <cellStyle name="Output" xfId="1174"/>
    <cellStyle name="Page Number" xfId="1175"/>
    <cellStyle name="pb_page_heading_LS" xfId="1176"/>
    <cellStyle name="Percent_RS_Lianozovo-Samara_9m01" xfId="1177"/>
    <cellStyle name="Percent1" xfId="1178"/>
    <cellStyle name="Piug" xfId="1179"/>
    <cellStyle name="Plug" xfId="1180"/>
    <cellStyle name="Price_Body" xfId="1181"/>
    <cellStyle name="prochrek" xfId="1182"/>
    <cellStyle name="Protected" xfId="1183"/>
    <cellStyle name="Salomon Logo" xfId="1184"/>
    <cellStyle name="SAPBEXaggData" xfId="1185"/>
    <cellStyle name="SAPBEXaggDataEmph" xfId="1186"/>
    <cellStyle name="SAPBEXaggItem" xfId="1187"/>
    <cellStyle name="SAPBEXaggItemX" xfId="1188"/>
    <cellStyle name="SAPBEXchaText" xfId="1189"/>
    <cellStyle name="SAPBEXexcBad7" xfId="1190"/>
    <cellStyle name="SAPBEXexcBad8" xfId="1191"/>
    <cellStyle name="SAPBEXexcBad9" xfId="1192"/>
    <cellStyle name="SAPBEXexcCritical4" xfId="1193"/>
    <cellStyle name="SAPBEXexcCritical5" xfId="1194"/>
    <cellStyle name="SAPBEXexcCritical6" xfId="1195"/>
    <cellStyle name="SAPBEXexcGood1" xfId="1196"/>
    <cellStyle name="SAPBEXexcGood2" xfId="1197"/>
    <cellStyle name="SAPBEXexcGood3" xfId="1198"/>
    <cellStyle name="SAPBEXfilterDrill" xfId="1199"/>
    <cellStyle name="SAPBEXfilterItem" xfId="1200"/>
    <cellStyle name="SAPBEXfilterText" xfId="1201"/>
    <cellStyle name="SAPBEXformats" xfId="1202"/>
    <cellStyle name="SAPBEXheaderItem" xfId="1203"/>
    <cellStyle name="SAPBEXheaderText" xfId="1204"/>
    <cellStyle name="SAPBEXHLevel0" xfId="1205"/>
    <cellStyle name="SAPBEXHLevel0X" xfId="1206"/>
    <cellStyle name="SAPBEXHLevel1" xfId="1207"/>
    <cellStyle name="SAPBEXHLevel1X" xfId="1208"/>
    <cellStyle name="SAPBEXHLevel2" xfId="1209"/>
    <cellStyle name="SAPBEXHLevel2X" xfId="1210"/>
    <cellStyle name="SAPBEXHLevel3" xfId="1211"/>
    <cellStyle name="SAPBEXHLevel3X" xfId="1212"/>
    <cellStyle name="SAPBEXinputData" xfId="1213"/>
    <cellStyle name="SAPBEXresData" xfId="1214"/>
    <cellStyle name="SAPBEXresDataEmph" xfId="1215"/>
    <cellStyle name="SAPBEXresItem" xfId="1216"/>
    <cellStyle name="SAPBEXresItemX" xfId="1217"/>
    <cellStyle name="SAPBEXstdData" xfId="1218"/>
    <cellStyle name="SAPBEXstdDataEmph" xfId="1219"/>
    <cellStyle name="SAPBEXstdItem" xfId="1220"/>
    <cellStyle name="SAPBEXstdItemX" xfId="1221"/>
    <cellStyle name="SAPBEXtitle" xfId="1222"/>
    <cellStyle name="SAPBEXundefined" xfId="1223"/>
    <cellStyle name="st1" xfId="1224"/>
    <cellStyle name="Standard_NEGS" xfId="1225"/>
    <cellStyle name="Style 1" xfId="1226"/>
    <cellStyle name="Table Head" xfId="1227"/>
    <cellStyle name="Table Head Aligned" xfId="1228"/>
    <cellStyle name="Table Head Blue" xfId="1229"/>
    <cellStyle name="Table Head Green" xfId="1230"/>
    <cellStyle name="Table Head_Val_Sum_Graph" xfId="1231"/>
    <cellStyle name="Table Heading" xfId="1232"/>
    <cellStyle name="Table Heading 2" xfId="1233"/>
    <cellStyle name="Table Heading_46EP.2012(v0.1)" xfId="1234"/>
    <cellStyle name="Table Text" xfId="1235"/>
    <cellStyle name="Table Title" xfId="1236"/>
    <cellStyle name="Table Units" xfId="1237"/>
    <cellStyle name="Table_Header" xfId="1238"/>
    <cellStyle name="Text" xfId="1239"/>
    <cellStyle name="Text 1" xfId="1240"/>
    <cellStyle name="Text Head" xfId="1241"/>
    <cellStyle name="Text Head 1" xfId="1242"/>
    <cellStyle name="Title" xfId="1243"/>
    <cellStyle name="Title 4" xfId="1244"/>
    <cellStyle name="Total" xfId="1245"/>
    <cellStyle name="TotalCurrency" xfId="1246"/>
    <cellStyle name="Underline_Single" xfId="1247"/>
    <cellStyle name="Unit" xfId="1248"/>
    <cellStyle name="Warning Text" xfId="1249"/>
    <cellStyle name="year" xfId="1250"/>
    <cellStyle name="Акцент1 2" xfId="1251"/>
    <cellStyle name="Акцент1 2 2" xfId="1252"/>
    <cellStyle name="Акцент1 3" xfId="1253"/>
    <cellStyle name="Акцент1 3 2" xfId="1254"/>
    <cellStyle name="Акцент1 4" xfId="1255"/>
    <cellStyle name="Акцент1 4 2" xfId="1256"/>
    <cellStyle name="Акцент1 5" xfId="1257"/>
    <cellStyle name="Акцент1 5 2" xfId="1258"/>
    <cellStyle name="Акцент1 6" xfId="1259"/>
    <cellStyle name="Акцент1 6 2" xfId="1260"/>
    <cellStyle name="Акцент1 7" xfId="1261"/>
    <cellStyle name="Акцент1 7 2" xfId="1262"/>
    <cellStyle name="Акцент1 8" xfId="1263"/>
    <cellStyle name="Акцент1 8 2" xfId="1264"/>
    <cellStyle name="Акцент1 9" xfId="1265"/>
    <cellStyle name="Акцент1 9 2" xfId="1266"/>
    <cellStyle name="Акцент2 2" xfId="1267"/>
    <cellStyle name="Акцент2 2 2" xfId="1268"/>
    <cellStyle name="Акцент2 3" xfId="1269"/>
    <cellStyle name="Акцент2 3 2" xfId="1270"/>
    <cellStyle name="Акцент2 4" xfId="1271"/>
    <cellStyle name="Акцент2 4 2" xfId="1272"/>
    <cellStyle name="Акцент2 5" xfId="1273"/>
    <cellStyle name="Акцент2 5 2" xfId="1274"/>
    <cellStyle name="Акцент2 6" xfId="1275"/>
    <cellStyle name="Акцент2 6 2" xfId="1276"/>
    <cellStyle name="Акцент2 7" xfId="1277"/>
    <cellStyle name="Акцент2 7 2" xfId="1278"/>
    <cellStyle name="Акцент2 8" xfId="1279"/>
    <cellStyle name="Акцент2 8 2" xfId="1280"/>
    <cellStyle name="Акцент2 9" xfId="1281"/>
    <cellStyle name="Акцент2 9 2" xfId="1282"/>
    <cellStyle name="Акцент3 2" xfId="1283"/>
    <cellStyle name="Акцент3 2 2" xfId="1284"/>
    <cellStyle name="Акцент3 3" xfId="1285"/>
    <cellStyle name="Акцент3 3 2" xfId="1286"/>
    <cellStyle name="Акцент3 4" xfId="1287"/>
    <cellStyle name="Акцент3 4 2" xfId="1288"/>
    <cellStyle name="Акцент3 5" xfId="1289"/>
    <cellStyle name="Акцент3 5 2" xfId="1290"/>
    <cellStyle name="Акцент3 6" xfId="1291"/>
    <cellStyle name="Акцент3 6 2" xfId="1292"/>
    <cellStyle name="Акцент3 7" xfId="1293"/>
    <cellStyle name="Акцент3 7 2" xfId="1294"/>
    <cellStyle name="Акцент3 8" xfId="1295"/>
    <cellStyle name="Акцент3 8 2" xfId="1296"/>
    <cellStyle name="Акцент3 9" xfId="1297"/>
    <cellStyle name="Акцент3 9 2" xfId="1298"/>
    <cellStyle name="Акцент4 2" xfId="1299"/>
    <cellStyle name="Акцент4 2 2" xfId="1300"/>
    <cellStyle name="Акцент4 3" xfId="1301"/>
    <cellStyle name="Акцент4 3 2" xfId="1302"/>
    <cellStyle name="Акцент4 4" xfId="1303"/>
    <cellStyle name="Акцент4 4 2" xfId="1304"/>
    <cellStyle name="Акцент4 5" xfId="1305"/>
    <cellStyle name="Акцент4 5 2" xfId="1306"/>
    <cellStyle name="Акцент4 6" xfId="1307"/>
    <cellStyle name="Акцент4 6 2" xfId="1308"/>
    <cellStyle name="Акцент4 7" xfId="1309"/>
    <cellStyle name="Акцент4 7 2" xfId="1310"/>
    <cellStyle name="Акцент4 8" xfId="1311"/>
    <cellStyle name="Акцент4 8 2" xfId="1312"/>
    <cellStyle name="Акцент4 9" xfId="1313"/>
    <cellStyle name="Акцент4 9 2" xfId="1314"/>
    <cellStyle name="Акцент5 2" xfId="1315"/>
    <cellStyle name="Акцент5 2 2" xfId="1316"/>
    <cellStyle name="Акцент5 3" xfId="1317"/>
    <cellStyle name="Акцент5 3 2" xfId="1318"/>
    <cellStyle name="Акцент5 4" xfId="1319"/>
    <cellStyle name="Акцент5 4 2" xfId="1320"/>
    <cellStyle name="Акцент5 5" xfId="1321"/>
    <cellStyle name="Акцент5 5 2" xfId="1322"/>
    <cellStyle name="Акцент5 6" xfId="1323"/>
    <cellStyle name="Акцент5 6 2" xfId="1324"/>
    <cellStyle name="Акцент5 7" xfId="1325"/>
    <cellStyle name="Акцент5 7 2" xfId="1326"/>
    <cellStyle name="Акцент5 8" xfId="1327"/>
    <cellStyle name="Акцент5 8 2" xfId="1328"/>
    <cellStyle name="Акцент5 9" xfId="1329"/>
    <cellStyle name="Акцент5 9 2" xfId="1330"/>
    <cellStyle name="Акцент6 2" xfId="1331"/>
    <cellStyle name="Акцент6 2 2" xfId="1332"/>
    <cellStyle name="Акцент6 3" xfId="1333"/>
    <cellStyle name="Акцент6 3 2" xfId="1334"/>
    <cellStyle name="Акцент6 4" xfId="1335"/>
    <cellStyle name="Акцент6 4 2" xfId="1336"/>
    <cellStyle name="Акцент6 5" xfId="1337"/>
    <cellStyle name="Акцент6 5 2" xfId="1338"/>
    <cellStyle name="Акцент6 6" xfId="1339"/>
    <cellStyle name="Акцент6 6 2" xfId="1340"/>
    <cellStyle name="Акцент6 7" xfId="1341"/>
    <cellStyle name="Акцент6 7 2" xfId="1342"/>
    <cellStyle name="Акцент6 8" xfId="1343"/>
    <cellStyle name="Акцент6 8 2" xfId="1344"/>
    <cellStyle name="Акцент6 9" xfId="1345"/>
    <cellStyle name="Акцент6 9 2" xfId="1346"/>
    <cellStyle name="Беззащитный" xfId="1347"/>
    <cellStyle name="Ввод  2" xfId="1348"/>
    <cellStyle name="Ввод  2 2" xfId="1349"/>
    <cellStyle name="Ввод  2_46EE.2011(v1.0)" xfId="1350"/>
    <cellStyle name="Ввод  3" xfId="1351"/>
    <cellStyle name="Ввод  3 2" xfId="1352"/>
    <cellStyle name="Ввод  3_46EE.2011(v1.0)" xfId="1353"/>
    <cellStyle name="Ввод  4" xfId="1354"/>
    <cellStyle name="Ввод  4 2" xfId="1355"/>
    <cellStyle name="Ввод  4_46EE.2011(v1.0)" xfId="1356"/>
    <cellStyle name="Ввод  5" xfId="1357"/>
    <cellStyle name="Ввод  5 2" xfId="1358"/>
    <cellStyle name="Ввод  5_46EE.2011(v1.0)" xfId="1359"/>
    <cellStyle name="Ввод  6" xfId="1360"/>
    <cellStyle name="Ввод  6 2" xfId="1361"/>
    <cellStyle name="Ввод  6_46EE.2011(v1.0)" xfId="1362"/>
    <cellStyle name="Ввод  7" xfId="1363"/>
    <cellStyle name="Ввод  7 2" xfId="1364"/>
    <cellStyle name="Ввод  7_46EE.2011(v1.0)" xfId="1365"/>
    <cellStyle name="Ввод  8" xfId="1366"/>
    <cellStyle name="Ввод  8 2" xfId="1367"/>
    <cellStyle name="Ввод  8_46EE.2011(v1.0)" xfId="1368"/>
    <cellStyle name="Ввод  9" xfId="1369"/>
    <cellStyle name="Ввод  9 2" xfId="1370"/>
    <cellStyle name="Ввод  9_46EE.2011(v1.0)" xfId="1371"/>
    <cellStyle name="Верт. заголовок" xfId="1372"/>
    <cellStyle name="Вес_продукта" xfId="1373"/>
    <cellStyle name="Вывод 2" xfId="1374"/>
    <cellStyle name="Вывод 2 2" xfId="1375"/>
    <cellStyle name="Вывод 2_46EE.2011(v1.0)" xfId="1376"/>
    <cellStyle name="Вывод 3" xfId="1377"/>
    <cellStyle name="Вывод 3 2" xfId="1378"/>
    <cellStyle name="Вывод 3_46EE.2011(v1.0)" xfId="1379"/>
    <cellStyle name="Вывод 4" xfId="1380"/>
    <cellStyle name="Вывод 4 2" xfId="1381"/>
    <cellStyle name="Вывод 4_46EE.2011(v1.0)" xfId="1382"/>
    <cellStyle name="Вывод 5" xfId="1383"/>
    <cellStyle name="Вывод 5 2" xfId="1384"/>
    <cellStyle name="Вывод 5_46EE.2011(v1.0)" xfId="1385"/>
    <cellStyle name="Вывод 6" xfId="1386"/>
    <cellStyle name="Вывод 6 2" xfId="1387"/>
    <cellStyle name="Вывод 6_46EE.2011(v1.0)" xfId="1388"/>
    <cellStyle name="Вывод 7" xfId="1389"/>
    <cellStyle name="Вывод 7 2" xfId="1390"/>
    <cellStyle name="Вывод 7_46EE.2011(v1.0)" xfId="1391"/>
    <cellStyle name="Вывод 8" xfId="1392"/>
    <cellStyle name="Вывод 8 2" xfId="1393"/>
    <cellStyle name="Вывод 8_46EE.2011(v1.0)" xfId="1394"/>
    <cellStyle name="Вывод 9" xfId="1395"/>
    <cellStyle name="Вывод 9 2" xfId="1396"/>
    <cellStyle name="Вывод 9_46EE.2011(v1.0)" xfId="1397"/>
    <cellStyle name="Вычисление 2" xfId="1398"/>
    <cellStyle name="Вычисление 2 2" xfId="1399"/>
    <cellStyle name="Вычисление 2_46EE.2011(v1.0)" xfId="1400"/>
    <cellStyle name="Вычисление 3" xfId="1401"/>
    <cellStyle name="Вычисление 3 2" xfId="1402"/>
    <cellStyle name="Вычисление 3_46EE.2011(v1.0)" xfId="1403"/>
    <cellStyle name="Вычисление 4" xfId="1404"/>
    <cellStyle name="Вычисление 4 2" xfId="1405"/>
    <cellStyle name="Вычисление 4_46EE.2011(v1.0)" xfId="1406"/>
    <cellStyle name="Вычисление 5" xfId="1407"/>
    <cellStyle name="Вычисление 5 2" xfId="1408"/>
    <cellStyle name="Вычисление 5_46EE.2011(v1.0)" xfId="1409"/>
    <cellStyle name="Вычисление 6" xfId="1410"/>
    <cellStyle name="Вычисление 6 2" xfId="1411"/>
    <cellStyle name="Вычисление 6_46EE.2011(v1.0)" xfId="1412"/>
    <cellStyle name="Вычисление 7" xfId="1413"/>
    <cellStyle name="Вычисление 7 2" xfId="1414"/>
    <cellStyle name="Вычисление 7_46EE.2011(v1.0)" xfId="1415"/>
    <cellStyle name="Вычисление 8" xfId="1416"/>
    <cellStyle name="Вычисление 8 2" xfId="1417"/>
    <cellStyle name="Вычисление 8_46EE.2011(v1.0)" xfId="1418"/>
    <cellStyle name="Вычисление 9" xfId="1419"/>
    <cellStyle name="Вычисление 9 2" xfId="1420"/>
    <cellStyle name="Вычисление 9_46EE.2011(v1.0)" xfId="1421"/>
    <cellStyle name="Гиперссылка 2" xfId="1422"/>
    <cellStyle name="Гиперссылка 2 2" xfId="1423"/>
    <cellStyle name="Гиперссылка 2 2 2" xfId="1424"/>
    <cellStyle name="Гиперссылка 2 3" xfId="1425"/>
    <cellStyle name="Гиперссылка 3" xfId="1426"/>
    <cellStyle name="Гиперссылка 4" xfId="1427"/>
    <cellStyle name="Гиперссылка 4 6" xfId="1428"/>
    <cellStyle name="Группа" xfId="1429"/>
    <cellStyle name="Группа 0" xfId="1430"/>
    <cellStyle name="Группа 1" xfId="1431"/>
    <cellStyle name="Группа 2" xfId="1432"/>
    <cellStyle name="Группа 3" xfId="1433"/>
    <cellStyle name="Группа 4" xfId="1434"/>
    <cellStyle name="Группа 5" xfId="1435"/>
    <cellStyle name="Группа 6" xfId="1436"/>
    <cellStyle name="Группа 7" xfId="1437"/>
    <cellStyle name="Группа 8" xfId="1438"/>
    <cellStyle name="Группа_additional slides_04.12.03 _1" xfId="1439"/>
    <cellStyle name="ДАТА" xfId="1440"/>
    <cellStyle name="ДАТА 2" xfId="1441"/>
    <cellStyle name="ДАТА 3" xfId="1442"/>
    <cellStyle name="ДАТА 4" xfId="1443"/>
    <cellStyle name="ДАТА 5" xfId="1444"/>
    <cellStyle name="ДАТА 6" xfId="1445"/>
    <cellStyle name="ДАТА 7" xfId="1446"/>
    <cellStyle name="ДАТА 8" xfId="1447"/>
    <cellStyle name="ДАТА 9" xfId="1448"/>
    <cellStyle name="ДАТА_1" xfId="1449"/>
    <cellStyle name="Денежный" xfId="1990" builtinId="4"/>
    <cellStyle name="Денежный 2" xfId="1450"/>
    <cellStyle name="Денежный 2 2" xfId="1451"/>
    <cellStyle name="Денежный 2_INDEX.STATION.2012(v1.0)_" xfId="1452"/>
    <cellStyle name="Заголовок" xfId="1453"/>
    <cellStyle name="Заголовок 1 2" xfId="1454"/>
    <cellStyle name="Заголовок 1 2 2" xfId="1455"/>
    <cellStyle name="Заголовок 1 2_46EE.2011(v1.0)" xfId="1456"/>
    <cellStyle name="Заголовок 1 3" xfId="1457"/>
    <cellStyle name="Заголовок 1 3 2" xfId="1458"/>
    <cellStyle name="Заголовок 1 3_46EE.2011(v1.0)" xfId="1459"/>
    <cellStyle name="Заголовок 1 4" xfId="1460"/>
    <cellStyle name="Заголовок 1 4 2" xfId="1461"/>
    <cellStyle name="Заголовок 1 4_46EE.2011(v1.0)" xfId="1462"/>
    <cellStyle name="Заголовок 1 5" xfId="1463"/>
    <cellStyle name="Заголовок 1 5 2" xfId="1464"/>
    <cellStyle name="Заголовок 1 5_46EE.2011(v1.0)" xfId="1465"/>
    <cellStyle name="Заголовок 1 6" xfId="1466"/>
    <cellStyle name="Заголовок 1 6 2" xfId="1467"/>
    <cellStyle name="Заголовок 1 6_46EE.2011(v1.0)" xfId="1468"/>
    <cellStyle name="Заголовок 1 7" xfId="1469"/>
    <cellStyle name="Заголовок 1 7 2" xfId="1470"/>
    <cellStyle name="Заголовок 1 7_46EE.2011(v1.0)" xfId="1471"/>
    <cellStyle name="Заголовок 1 8" xfId="1472"/>
    <cellStyle name="Заголовок 1 8 2" xfId="1473"/>
    <cellStyle name="Заголовок 1 8_46EE.2011(v1.0)" xfId="1474"/>
    <cellStyle name="Заголовок 1 9" xfId="1475"/>
    <cellStyle name="Заголовок 1 9 2" xfId="1476"/>
    <cellStyle name="Заголовок 1 9_46EE.2011(v1.0)" xfId="1477"/>
    <cellStyle name="Заголовок 2 2" xfId="1478"/>
    <cellStyle name="Заголовок 2 2 2" xfId="1479"/>
    <cellStyle name="Заголовок 2 2_46EE.2011(v1.0)" xfId="1480"/>
    <cellStyle name="Заголовок 2 3" xfId="1481"/>
    <cellStyle name="Заголовок 2 3 2" xfId="1482"/>
    <cellStyle name="Заголовок 2 3_46EE.2011(v1.0)" xfId="1483"/>
    <cellStyle name="Заголовок 2 4" xfId="1484"/>
    <cellStyle name="Заголовок 2 4 2" xfId="1485"/>
    <cellStyle name="Заголовок 2 4_46EE.2011(v1.0)" xfId="1486"/>
    <cellStyle name="Заголовок 2 5" xfId="1487"/>
    <cellStyle name="Заголовок 2 5 2" xfId="1488"/>
    <cellStyle name="Заголовок 2 5_46EE.2011(v1.0)" xfId="1489"/>
    <cellStyle name="Заголовок 2 6" xfId="1490"/>
    <cellStyle name="Заголовок 2 6 2" xfId="1491"/>
    <cellStyle name="Заголовок 2 6_46EE.2011(v1.0)" xfId="1492"/>
    <cellStyle name="Заголовок 2 7" xfId="1493"/>
    <cellStyle name="Заголовок 2 7 2" xfId="1494"/>
    <cellStyle name="Заголовок 2 7_46EE.2011(v1.0)" xfId="1495"/>
    <cellStyle name="Заголовок 2 8" xfId="1496"/>
    <cellStyle name="Заголовок 2 8 2" xfId="1497"/>
    <cellStyle name="Заголовок 2 8_46EE.2011(v1.0)" xfId="1498"/>
    <cellStyle name="Заголовок 2 9" xfId="1499"/>
    <cellStyle name="Заголовок 2 9 2" xfId="1500"/>
    <cellStyle name="Заголовок 2 9_46EE.2011(v1.0)" xfId="1501"/>
    <cellStyle name="Заголовок 3 2" xfId="1502"/>
    <cellStyle name="Заголовок 3 2 2" xfId="1503"/>
    <cellStyle name="Заголовок 3 2_46EE.2011(v1.0)" xfId="1504"/>
    <cellStyle name="Заголовок 3 3" xfId="1505"/>
    <cellStyle name="Заголовок 3 3 2" xfId="1506"/>
    <cellStyle name="Заголовок 3 3_46EE.2011(v1.0)" xfId="1507"/>
    <cellStyle name="Заголовок 3 4" xfId="1508"/>
    <cellStyle name="Заголовок 3 4 2" xfId="1509"/>
    <cellStyle name="Заголовок 3 4_46EE.2011(v1.0)" xfId="1510"/>
    <cellStyle name="Заголовок 3 5" xfId="1511"/>
    <cellStyle name="Заголовок 3 5 2" xfId="1512"/>
    <cellStyle name="Заголовок 3 5_46EE.2011(v1.0)" xfId="1513"/>
    <cellStyle name="Заголовок 3 6" xfId="1514"/>
    <cellStyle name="Заголовок 3 6 2" xfId="1515"/>
    <cellStyle name="Заголовок 3 6_46EE.2011(v1.0)" xfId="1516"/>
    <cellStyle name="Заголовок 3 7" xfId="1517"/>
    <cellStyle name="Заголовок 3 7 2" xfId="1518"/>
    <cellStyle name="Заголовок 3 7_46EE.2011(v1.0)" xfId="1519"/>
    <cellStyle name="Заголовок 3 8" xfId="1520"/>
    <cellStyle name="Заголовок 3 8 2" xfId="1521"/>
    <cellStyle name="Заголовок 3 8_46EE.2011(v1.0)" xfId="1522"/>
    <cellStyle name="Заголовок 3 9" xfId="1523"/>
    <cellStyle name="Заголовок 3 9 2" xfId="1524"/>
    <cellStyle name="Заголовок 3 9_46EE.2011(v1.0)" xfId="1525"/>
    <cellStyle name="Заголовок 4 2" xfId="1526"/>
    <cellStyle name="Заголовок 4 2 2" xfId="1527"/>
    <cellStyle name="Заголовок 4 3" xfId="1528"/>
    <cellStyle name="Заголовок 4 3 2" xfId="1529"/>
    <cellStyle name="Заголовок 4 4" xfId="1530"/>
    <cellStyle name="Заголовок 4 4 2" xfId="1531"/>
    <cellStyle name="Заголовок 4 5" xfId="1532"/>
    <cellStyle name="Заголовок 4 5 2" xfId="1533"/>
    <cellStyle name="Заголовок 4 6" xfId="1534"/>
    <cellStyle name="Заголовок 4 6 2" xfId="1535"/>
    <cellStyle name="Заголовок 4 7" xfId="1536"/>
    <cellStyle name="Заголовок 4 7 2" xfId="1537"/>
    <cellStyle name="Заголовок 4 8" xfId="1538"/>
    <cellStyle name="Заголовок 4 8 2" xfId="1539"/>
    <cellStyle name="Заголовок 4 9" xfId="1540"/>
    <cellStyle name="Заголовок 4 9 2" xfId="1541"/>
    <cellStyle name="ЗАГОЛОВОК1" xfId="1542"/>
    <cellStyle name="ЗАГОЛОВОК2" xfId="1543"/>
    <cellStyle name="ЗаголовокСтолбца" xfId="1544"/>
    <cellStyle name="Защитный" xfId="1545"/>
    <cellStyle name="Значение" xfId="1546"/>
    <cellStyle name="Зоголовок" xfId="1547"/>
    <cellStyle name="Итог 2" xfId="1548"/>
    <cellStyle name="Итог 2 2" xfId="1549"/>
    <cellStyle name="Итог 2_46EE.2011(v1.0)" xfId="1550"/>
    <cellStyle name="Итог 3" xfId="1551"/>
    <cellStyle name="Итог 3 2" xfId="1552"/>
    <cellStyle name="Итог 3_46EE.2011(v1.0)" xfId="1553"/>
    <cellStyle name="Итог 4" xfId="1554"/>
    <cellStyle name="Итог 4 2" xfId="1555"/>
    <cellStyle name="Итог 4_46EE.2011(v1.0)" xfId="1556"/>
    <cellStyle name="Итог 5" xfId="1557"/>
    <cellStyle name="Итог 5 2" xfId="1558"/>
    <cellStyle name="Итог 5_46EE.2011(v1.0)" xfId="1559"/>
    <cellStyle name="Итог 6" xfId="1560"/>
    <cellStyle name="Итог 6 2" xfId="1561"/>
    <cellStyle name="Итог 6_46EE.2011(v1.0)" xfId="1562"/>
    <cellStyle name="Итог 7" xfId="1563"/>
    <cellStyle name="Итог 7 2" xfId="1564"/>
    <cellStyle name="Итог 7_46EE.2011(v1.0)" xfId="1565"/>
    <cellStyle name="Итог 8" xfId="1566"/>
    <cellStyle name="Итог 8 2" xfId="1567"/>
    <cellStyle name="Итог 8_46EE.2011(v1.0)" xfId="1568"/>
    <cellStyle name="Итог 9" xfId="1569"/>
    <cellStyle name="Итог 9 2" xfId="1570"/>
    <cellStyle name="Итог 9_46EE.2011(v1.0)" xfId="1571"/>
    <cellStyle name="Итого" xfId="1572"/>
    <cellStyle name="ИТОГОВЫЙ" xfId="1573"/>
    <cellStyle name="ИТОГОВЫЙ 2" xfId="1574"/>
    <cellStyle name="ИТОГОВЫЙ 3" xfId="1575"/>
    <cellStyle name="ИТОГОВЫЙ 4" xfId="1576"/>
    <cellStyle name="ИТОГОВЫЙ 5" xfId="1577"/>
    <cellStyle name="ИТОГОВЫЙ 6" xfId="1578"/>
    <cellStyle name="ИТОГОВЫЙ 7" xfId="1579"/>
    <cellStyle name="ИТОГОВЫЙ 8" xfId="1580"/>
    <cellStyle name="ИТОГОВЫЙ 9" xfId="1581"/>
    <cellStyle name="ИТОГОВЫЙ_1" xfId="1582"/>
    <cellStyle name="Контрольная ячейка 2" xfId="1583"/>
    <cellStyle name="Контрольная ячейка 2 2" xfId="1584"/>
    <cellStyle name="Контрольная ячейка 2_46EE.2011(v1.0)" xfId="1585"/>
    <cellStyle name="Контрольная ячейка 3" xfId="1586"/>
    <cellStyle name="Контрольная ячейка 3 2" xfId="1587"/>
    <cellStyle name="Контрольная ячейка 3_46EE.2011(v1.0)" xfId="1588"/>
    <cellStyle name="Контрольная ячейка 4" xfId="1589"/>
    <cellStyle name="Контрольная ячейка 4 2" xfId="1590"/>
    <cellStyle name="Контрольная ячейка 4_46EE.2011(v1.0)" xfId="1591"/>
    <cellStyle name="Контрольная ячейка 5" xfId="1592"/>
    <cellStyle name="Контрольная ячейка 5 2" xfId="1593"/>
    <cellStyle name="Контрольная ячейка 5_46EE.2011(v1.0)" xfId="1594"/>
    <cellStyle name="Контрольная ячейка 6" xfId="1595"/>
    <cellStyle name="Контрольная ячейка 6 2" xfId="1596"/>
    <cellStyle name="Контрольная ячейка 6_46EE.2011(v1.0)" xfId="1597"/>
    <cellStyle name="Контрольная ячейка 7" xfId="1598"/>
    <cellStyle name="Контрольная ячейка 7 2" xfId="1599"/>
    <cellStyle name="Контрольная ячейка 7_46EE.2011(v1.0)" xfId="1600"/>
    <cellStyle name="Контрольная ячейка 8" xfId="1601"/>
    <cellStyle name="Контрольная ячейка 8 2" xfId="1602"/>
    <cellStyle name="Контрольная ячейка 8_46EE.2011(v1.0)" xfId="1603"/>
    <cellStyle name="Контрольная ячейка 9" xfId="1604"/>
    <cellStyle name="Контрольная ячейка 9 2" xfId="1605"/>
    <cellStyle name="Контрольная ячейка 9_46EE.2011(v1.0)" xfId="1606"/>
    <cellStyle name="Миша (бланки отчетности)" xfId="1607"/>
    <cellStyle name="Мой заголовок" xfId="1662"/>
    <cellStyle name="Мой заголовок листа" xfId="1663"/>
    <cellStyle name="Мой заголовок_Новая инструкция1_фст" xfId="1664"/>
    <cellStyle name="Мои наименования показателей" xfId="1608"/>
    <cellStyle name="Мои наименования показателей 2" xfId="1609"/>
    <cellStyle name="Мои наименования показателей 2 2" xfId="1610"/>
    <cellStyle name="Мои наименования показателей 2 3" xfId="1611"/>
    <cellStyle name="Мои наименования показателей 2 4" xfId="1612"/>
    <cellStyle name="Мои наименования показателей 2 5" xfId="1613"/>
    <cellStyle name="Мои наименования показателей 2 6" xfId="1614"/>
    <cellStyle name="Мои наименования показателей 2 7" xfId="1615"/>
    <cellStyle name="Мои наименования показателей 2 8" xfId="1616"/>
    <cellStyle name="Мои наименования показателей 2 9" xfId="1617"/>
    <cellStyle name="Мои наименования показателей 2_1" xfId="1618"/>
    <cellStyle name="Мои наименования показателей 3" xfId="1619"/>
    <cellStyle name="Мои наименования показателей 3 2" xfId="1620"/>
    <cellStyle name="Мои наименования показателей 3 3" xfId="1621"/>
    <cellStyle name="Мои наименования показателей 3 4" xfId="1622"/>
    <cellStyle name="Мои наименования показателей 3 5" xfId="1623"/>
    <cellStyle name="Мои наименования показателей 3 6" xfId="1624"/>
    <cellStyle name="Мои наименования показателей 3 7" xfId="1625"/>
    <cellStyle name="Мои наименования показателей 3 8" xfId="1626"/>
    <cellStyle name="Мои наименования показателей 3 9" xfId="1627"/>
    <cellStyle name="Мои наименования показателей 3_1" xfId="1628"/>
    <cellStyle name="Мои наименования показателей 4" xfId="1629"/>
    <cellStyle name="Мои наименования показателей 4 2" xfId="1630"/>
    <cellStyle name="Мои наименования показателей 4 3" xfId="1631"/>
    <cellStyle name="Мои наименования показателей 4 4" xfId="1632"/>
    <cellStyle name="Мои наименования показателей 4 5" xfId="1633"/>
    <cellStyle name="Мои наименования показателей 4 6" xfId="1634"/>
    <cellStyle name="Мои наименования показателей 4 7" xfId="1635"/>
    <cellStyle name="Мои наименования показателей 4 8" xfId="1636"/>
    <cellStyle name="Мои наименования показателей 4 9" xfId="1637"/>
    <cellStyle name="Мои наименования показателей 4_1" xfId="1638"/>
    <cellStyle name="Мои наименования показателей 5" xfId="1639"/>
    <cellStyle name="Мои наименования показателей 5 2" xfId="1640"/>
    <cellStyle name="Мои наименования показателей 5 3" xfId="1641"/>
    <cellStyle name="Мои наименования показателей 5 4" xfId="1642"/>
    <cellStyle name="Мои наименования показателей 5 5" xfId="1643"/>
    <cellStyle name="Мои наименования показателей 5 6" xfId="1644"/>
    <cellStyle name="Мои наименования показателей 5 7" xfId="1645"/>
    <cellStyle name="Мои наименования показателей 5 8" xfId="1646"/>
    <cellStyle name="Мои наименования показателей 5 9" xfId="1647"/>
    <cellStyle name="Мои наименования показателей 5_1" xfId="1648"/>
    <cellStyle name="Мои наименования показателей 6" xfId="1649"/>
    <cellStyle name="Мои наименования показателей 6 2" xfId="1650"/>
    <cellStyle name="Мои наименования показателей 6 3" xfId="1651"/>
    <cellStyle name="Мои наименования показателей 6_46EE.2011(v1.0)" xfId="1652"/>
    <cellStyle name="Мои наименования показателей 7" xfId="1653"/>
    <cellStyle name="Мои наименования показателей 7 2" xfId="1654"/>
    <cellStyle name="Мои наименования показателей 7 3" xfId="1655"/>
    <cellStyle name="Мои наименования показателей 7_46EE.2011(v1.0)" xfId="1656"/>
    <cellStyle name="Мои наименования показателей 8" xfId="1657"/>
    <cellStyle name="Мои наименования показателей 8 2" xfId="1658"/>
    <cellStyle name="Мои наименования показателей 8 3" xfId="1659"/>
    <cellStyle name="Мои наименования показателей 8_46EE.2011(v1.0)" xfId="1660"/>
    <cellStyle name="Мои наименования показателей_46EE.2011" xfId="1661"/>
    <cellStyle name="назв фил" xfId="1665"/>
    <cellStyle name="Название 2" xfId="1666"/>
    <cellStyle name="Название 2 2" xfId="1667"/>
    <cellStyle name="Название 3" xfId="1668"/>
    <cellStyle name="Название 3 2" xfId="1669"/>
    <cellStyle name="Название 4" xfId="1670"/>
    <cellStyle name="Название 4 2" xfId="1671"/>
    <cellStyle name="Название 5" xfId="1672"/>
    <cellStyle name="Название 5 2" xfId="1673"/>
    <cellStyle name="Название 6" xfId="1674"/>
    <cellStyle name="Название 6 2" xfId="1675"/>
    <cellStyle name="Название 7" xfId="1676"/>
    <cellStyle name="Название 7 2" xfId="1677"/>
    <cellStyle name="Название 8" xfId="1678"/>
    <cellStyle name="Название 8 2" xfId="1679"/>
    <cellStyle name="Название 9" xfId="1680"/>
    <cellStyle name="Название 9 2" xfId="1681"/>
    <cellStyle name="Невидимый" xfId="1682"/>
    <cellStyle name="Нейтральный 2" xfId="1683"/>
    <cellStyle name="Нейтральный 2 2" xfId="1684"/>
    <cellStyle name="Нейтральный 3" xfId="1685"/>
    <cellStyle name="Нейтральный 3 2" xfId="1686"/>
    <cellStyle name="Нейтральный 4" xfId="1687"/>
    <cellStyle name="Нейтральный 4 2" xfId="1688"/>
    <cellStyle name="Нейтральный 5" xfId="1689"/>
    <cellStyle name="Нейтральный 5 2" xfId="1690"/>
    <cellStyle name="Нейтральный 6" xfId="1691"/>
    <cellStyle name="Нейтральный 6 2" xfId="1692"/>
    <cellStyle name="Нейтральный 7" xfId="1693"/>
    <cellStyle name="Нейтральный 7 2" xfId="1694"/>
    <cellStyle name="Нейтральный 8" xfId="1695"/>
    <cellStyle name="Нейтральный 8 2" xfId="1696"/>
    <cellStyle name="Нейтральный 9" xfId="1697"/>
    <cellStyle name="Нейтральный 9 2" xfId="1698"/>
    <cellStyle name="Низ1" xfId="1699"/>
    <cellStyle name="Низ2" xfId="1700"/>
    <cellStyle name="Обычный" xfId="0" builtinId="0"/>
    <cellStyle name="Обычный 10" xfId="1701"/>
    <cellStyle name="Обычный 11" xfId="1702"/>
    <cellStyle name="Обычный 11 2" xfId="1703"/>
    <cellStyle name="Обычный 11 3" xfId="1704"/>
    <cellStyle name="Обычный 11_46EE.2011(v1.2)" xfId="1705"/>
    <cellStyle name="Обычный 12" xfId="1706"/>
    <cellStyle name="Обычный 12 2" xfId="1707"/>
    <cellStyle name="Обычный 12 3 2" xfId="1708"/>
    <cellStyle name="Обычный 13" xfId="1709"/>
    <cellStyle name="Обычный 2" xfId="1710"/>
    <cellStyle name="Обычный 2 14" xfId="1711"/>
    <cellStyle name="Обычный 2 2" xfId="1712"/>
    <cellStyle name="Обычный 2 2 2" xfId="1713"/>
    <cellStyle name="Обычный 2 2 3" xfId="1714"/>
    <cellStyle name="Обычный 2 2_46EE.2011(v1.0)" xfId="1715"/>
    <cellStyle name="Обычный 2 3" xfId="1716"/>
    <cellStyle name="Обычный 2 3 2" xfId="1717"/>
    <cellStyle name="Обычный 2 3 3" xfId="1718"/>
    <cellStyle name="Обычный 2 3_46EE.2011(v1.0)" xfId="1719"/>
    <cellStyle name="Обычный 2 4" xfId="1720"/>
    <cellStyle name="Обычный 2 4 2" xfId="1721"/>
    <cellStyle name="Обычный 2 4 3" xfId="1722"/>
    <cellStyle name="Обычный 2 4_46EE.2011(v1.0)" xfId="1723"/>
    <cellStyle name="Обычный 2 5" xfId="1724"/>
    <cellStyle name="Обычный 2 5 2" xfId="1725"/>
    <cellStyle name="Обычный 2 5 3" xfId="1726"/>
    <cellStyle name="Обычный 2 5_46EE.2011(v1.0)" xfId="1727"/>
    <cellStyle name="Обычный 2 6" xfId="1728"/>
    <cellStyle name="Обычный 2 6 2" xfId="1729"/>
    <cellStyle name="Обычный 2 6 3" xfId="1730"/>
    <cellStyle name="Обычный 2 6_46EE.2011(v1.0)" xfId="1731"/>
    <cellStyle name="Обычный 2 7" xfId="1732"/>
    <cellStyle name="Обычный 2_1" xfId="1733"/>
    <cellStyle name="Обычный 3" xfId="1734"/>
    <cellStyle name="Обычный 3 2" xfId="1735"/>
    <cellStyle name="Обычный 3 3" xfId="1736"/>
    <cellStyle name="Обычный 3 3 2" xfId="1737"/>
    <cellStyle name="Обычный 4" xfId="1738"/>
    <cellStyle name="Обычный 4 2" xfId="1739"/>
    <cellStyle name="Обычный 4 2 2" xfId="1740"/>
    <cellStyle name="Обычный 4 2_BALANCE.WARM.2011YEAR(v1.5)" xfId="1741"/>
    <cellStyle name="Обычный 4_ARMRAZR" xfId="1742"/>
    <cellStyle name="Обычный 5" xfId="1743"/>
    <cellStyle name="Обычный 6" xfId="1744"/>
    <cellStyle name="Обычный 7" xfId="1745"/>
    <cellStyle name="Обычный 8" xfId="1746"/>
    <cellStyle name="Обычный 9" xfId="1747"/>
    <cellStyle name="Обычный 9 2" xfId="1748"/>
    <cellStyle name="Ошибка" xfId="1749"/>
    <cellStyle name="Плохой 2" xfId="1750"/>
    <cellStyle name="Плохой 2 2" xfId="1751"/>
    <cellStyle name="Плохой 3" xfId="1752"/>
    <cellStyle name="Плохой 3 2" xfId="1753"/>
    <cellStyle name="Плохой 4" xfId="1754"/>
    <cellStyle name="Плохой 4 2" xfId="1755"/>
    <cellStyle name="Плохой 5" xfId="1756"/>
    <cellStyle name="Плохой 5 2" xfId="1757"/>
    <cellStyle name="Плохой 6" xfId="1758"/>
    <cellStyle name="Плохой 6 2" xfId="1759"/>
    <cellStyle name="Плохой 7" xfId="1760"/>
    <cellStyle name="Плохой 7 2" xfId="1761"/>
    <cellStyle name="Плохой 8" xfId="1762"/>
    <cellStyle name="Плохой 8 2" xfId="1763"/>
    <cellStyle name="Плохой 9" xfId="1764"/>
    <cellStyle name="Плохой 9 2" xfId="1765"/>
    <cellStyle name="По центру с переносом" xfId="1766"/>
    <cellStyle name="По ширине с переносом" xfId="1767"/>
    <cellStyle name="Подгруппа" xfId="1768"/>
    <cellStyle name="Поле ввода" xfId="1769"/>
    <cellStyle name="Пояснение 2" xfId="1770"/>
    <cellStyle name="Пояснение 2 2" xfId="1771"/>
    <cellStyle name="Пояснение 3" xfId="1772"/>
    <cellStyle name="Пояснение 3 2" xfId="1773"/>
    <cellStyle name="Пояснение 4" xfId="1774"/>
    <cellStyle name="Пояснение 4 2" xfId="1775"/>
    <cellStyle name="Пояснение 5" xfId="1776"/>
    <cellStyle name="Пояснение 5 2" xfId="1777"/>
    <cellStyle name="Пояснение 6" xfId="1778"/>
    <cellStyle name="Пояснение 6 2" xfId="1779"/>
    <cellStyle name="Пояснение 7" xfId="1780"/>
    <cellStyle name="Пояснение 7 2" xfId="1781"/>
    <cellStyle name="Пояснение 8" xfId="1782"/>
    <cellStyle name="Пояснение 8 2" xfId="1783"/>
    <cellStyle name="Пояснение 9" xfId="1784"/>
    <cellStyle name="Пояснение 9 2" xfId="1785"/>
    <cellStyle name="Примечание 10" xfId="1786"/>
    <cellStyle name="Примечание 10 2" xfId="1787"/>
    <cellStyle name="Примечание 10 3" xfId="1788"/>
    <cellStyle name="Примечание 10_46EE.2011(v1.0)" xfId="1789"/>
    <cellStyle name="Примечание 11" xfId="1790"/>
    <cellStyle name="Примечание 11 2" xfId="1791"/>
    <cellStyle name="Примечание 11 3" xfId="1792"/>
    <cellStyle name="Примечание 11_46EE.2011(v1.0)" xfId="1793"/>
    <cellStyle name="Примечание 12" xfId="1794"/>
    <cellStyle name="Примечание 12 2" xfId="1795"/>
    <cellStyle name="Примечание 12 3" xfId="1796"/>
    <cellStyle name="Примечание 12_46EE.2011(v1.0)" xfId="1797"/>
    <cellStyle name="Примечание 2" xfId="1798"/>
    <cellStyle name="Примечание 2 2" xfId="1799"/>
    <cellStyle name="Примечание 2 3" xfId="1800"/>
    <cellStyle name="Примечание 2 4" xfId="1801"/>
    <cellStyle name="Примечание 2 5" xfId="1802"/>
    <cellStyle name="Примечание 2 6" xfId="1803"/>
    <cellStyle name="Примечание 2 7" xfId="1804"/>
    <cellStyle name="Примечание 2 8" xfId="1805"/>
    <cellStyle name="Примечание 2 9" xfId="1806"/>
    <cellStyle name="Примечание 2_46EE.2011(v1.0)" xfId="1807"/>
    <cellStyle name="Примечание 3" xfId="1808"/>
    <cellStyle name="Примечание 3 2" xfId="1809"/>
    <cellStyle name="Примечание 3 3" xfId="1810"/>
    <cellStyle name="Примечание 3 4" xfId="1811"/>
    <cellStyle name="Примечание 3 5" xfId="1812"/>
    <cellStyle name="Примечание 3 6" xfId="1813"/>
    <cellStyle name="Примечание 3 7" xfId="1814"/>
    <cellStyle name="Примечание 3 8" xfId="1815"/>
    <cellStyle name="Примечание 3 9" xfId="1816"/>
    <cellStyle name="Примечание 3_46EE.2011(v1.0)" xfId="1817"/>
    <cellStyle name="Примечание 4" xfId="1818"/>
    <cellStyle name="Примечание 4 2" xfId="1819"/>
    <cellStyle name="Примечание 4 3" xfId="1820"/>
    <cellStyle name="Примечание 4 4" xfId="1821"/>
    <cellStyle name="Примечание 4 5" xfId="1822"/>
    <cellStyle name="Примечание 4 6" xfId="1823"/>
    <cellStyle name="Примечание 4 7" xfId="1824"/>
    <cellStyle name="Примечание 4 8" xfId="1825"/>
    <cellStyle name="Примечание 4 9" xfId="1826"/>
    <cellStyle name="Примечание 4_46EE.2011(v1.0)" xfId="1827"/>
    <cellStyle name="Примечание 5" xfId="1828"/>
    <cellStyle name="Примечание 5 2" xfId="1829"/>
    <cellStyle name="Примечание 5 3" xfId="1830"/>
    <cellStyle name="Примечание 5 4" xfId="1831"/>
    <cellStyle name="Примечание 5 5" xfId="1832"/>
    <cellStyle name="Примечание 5 6" xfId="1833"/>
    <cellStyle name="Примечание 5 7" xfId="1834"/>
    <cellStyle name="Примечание 5 8" xfId="1835"/>
    <cellStyle name="Примечание 5 9" xfId="1836"/>
    <cellStyle name="Примечание 5_46EE.2011(v1.0)" xfId="1837"/>
    <cellStyle name="Примечание 6" xfId="1838"/>
    <cellStyle name="Примечание 6 2" xfId="1839"/>
    <cellStyle name="Примечание 6_46EE.2011(v1.0)" xfId="1840"/>
    <cellStyle name="Примечание 7" xfId="1841"/>
    <cellStyle name="Примечание 7 2" xfId="1842"/>
    <cellStyle name="Примечание 7_46EE.2011(v1.0)" xfId="1843"/>
    <cellStyle name="Примечание 8" xfId="1844"/>
    <cellStyle name="Примечание 8 2" xfId="1845"/>
    <cellStyle name="Примечание 8_46EE.2011(v1.0)" xfId="1846"/>
    <cellStyle name="Примечание 9" xfId="1847"/>
    <cellStyle name="Примечание 9 2" xfId="1848"/>
    <cellStyle name="Примечание 9_46EE.2011(v1.0)" xfId="1849"/>
    <cellStyle name="Продукт" xfId="1850"/>
    <cellStyle name="Процентный 10" xfId="1851"/>
    <cellStyle name="Процентный 2" xfId="1852"/>
    <cellStyle name="Процентный 2 2" xfId="1853"/>
    <cellStyle name="Процентный 2 3" xfId="1854"/>
    <cellStyle name="Процентный 3" xfId="1855"/>
    <cellStyle name="Процентный 3 2" xfId="1856"/>
    <cellStyle name="Процентный 3 3" xfId="1857"/>
    <cellStyle name="Процентный 4" xfId="1858"/>
    <cellStyle name="Процентный 4 2" xfId="1859"/>
    <cellStyle name="Процентный 4 3" xfId="1860"/>
    <cellStyle name="Процентный 5" xfId="1861"/>
    <cellStyle name="Процентный 9" xfId="1862"/>
    <cellStyle name="Разница" xfId="1863"/>
    <cellStyle name="Рамки" xfId="1864"/>
    <cellStyle name="Сводная таблица" xfId="1865"/>
    <cellStyle name="Связанная ячейка 2" xfId="1866"/>
    <cellStyle name="Связанная ячейка 2 2" xfId="1867"/>
    <cellStyle name="Связанная ячейка 2_46EE.2011(v1.0)" xfId="1868"/>
    <cellStyle name="Связанная ячейка 3" xfId="1869"/>
    <cellStyle name="Связанная ячейка 3 2" xfId="1870"/>
    <cellStyle name="Связанная ячейка 3_46EE.2011(v1.0)" xfId="1871"/>
    <cellStyle name="Связанная ячейка 4" xfId="1872"/>
    <cellStyle name="Связанная ячейка 4 2" xfId="1873"/>
    <cellStyle name="Связанная ячейка 4_46EE.2011(v1.0)" xfId="1874"/>
    <cellStyle name="Связанная ячейка 5" xfId="1875"/>
    <cellStyle name="Связанная ячейка 5 2" xfId="1876"/>
    <cellStyle name="Связанная ячейка 5_46EE.2011(v1.0)" xfId="1877"/>
    <cellStyle name="Связанная ячейка 6" xfId="1878"/>
    <cellStyle name="Связанная ячейка 6 2" xfId="1879"/>
    <cellStyle name="Связанная ячейка 6_46EE.2011(v1.0)" xfId="1880"/>
    <cellStyle name="Связанная ячейка 7" xfId="1881"/>
    <cellStyle name="Связанная ячейка 7 2" xfId="1882"/>
    <cellStyle name="Связанная ячейка 7_46EE.2011(v1.0)" xfId="1883"/>
    <cellStyle name="Связанная ячейка 8" xfId="1884"/>
    <cellStyle name="Связанная ячейка 8 2" xfId="1885"/>
    <cellStyle name="Связанная ячейка 8_46EE.2011(v1.0)" xfId="1886"/>
    <cellStyle name="Связанная ячейка 9" xfId="1887"/>
    <cellStyle name="Связанная ячейка 9 2" xfId="1888"/>
    <cellStyle name="Связанная ячейка 9_46EE.2011(v1.0)" xfId="1889"/>
    <cellStyle name="Стиль 1" xfId="1890"/>
    <cellStyle name="Стиль 1 2" xfId="1891"/>
    <cellStyle name="Стиль 1 2 2" xfId="1892"/>
    <cellStyle name="Стиль 1 2_46EP.2012(v0.1)" xfId="1893"/>
    <cellStyle name="Стиль 1_Новая инструкция1_фст" xfId="1894"/>
    <cellStyle name="Субсчет" xfId="1895"/>
    <cellStyle name="Счет" xfId="1896"/>
    <cellStyle name="ТЕКСТ" xfId="1897"/>
    <cellStyle name="ТЕКСТ 2" xfId="1898"/>
    <cellStyle name="ТЕКСТ 3" xfId="1899"/>
    <cellStyle name="ТЕКСТ 4" xfId="1900"/>
    <cellStyle name="ТЕКСТ 5" xfId="1901"/>
    <cellStyle name="ТЕКСТ 6" xfId="1902"/>
    <cellStyle name="ТЕКСТ 7" xfId="1903"/>
    <cellStyle name="ТЕКСТ 8" xfId="1904"/>
    <cellStyle name="ТЕКСТ 9" xfId="1905"/>
    <cellStyle name="Текст предупреждения 2" xfId="1906"/>
    <cellStyle name="Текст предупреждения 2 2" xfId="1907"/>
    <cellStyle name="Текст предупреждения 3" xfId="1908"/>
    <cellStyle name="Текст предупреждения 3 2" xfId="1909"/>
    <cellStyle name="Текст предупреждения 4" xfId="1910"/>
    <cellStyle name="Текст предупреждения 4 2" xfId="1911"/>
    <cellStyle name="Текст предупреждения 5" xfId="1912"/>
    <cellStyle name="Текст предупреждения 5 2" xfId="1913"/>
    <cellStyle name="Текст предупреждения 6" xfId="1914"/>
    <cellStyle name="Текст предупреждения 6 2" xfId="1915"/>
    <cellStyle name="Текст предупреждения 7" xfId="1916"/>
    <cellStyle name="Текст предупреждения 7 2" xfId="1917"/>
    <cellStyle name="Текст предупреждения 8" xfId="1918"/>
    <cellStyle name="Текст предупреждения 8 2" xfId="1919"/>
    <cellStyle name="Текст предупреждения 9" xfId="1920"/>
    <cellStyle name="Текст предупреждения 9 2" xfId="1921"/>
    <cellStyle name="Текстовый" xfId="1922"/>
    <cellStyle name="Текстовый 2" xfId="1923"/>
    <cellStyle name="Текстовый 3" xfId="1924"/>
    <cellStyle name="Текстовый 4" xfId="1925"/>
    <cellStyle name="Текстовый 5" xfId="1926"/>
    <cellStyle name="Текстовый 6" xfId="1927"/>
    <cellStyle name="Текстовый 7" xfId="1928"/>
    <cellStyle name="Текстовый 8" xfId="1929"/>
    <cellStyle name="Текстовый 9" xfId="1930"/>
    <cellStyle name="Текстовый_1" xfId="1931"/>
    <cellStyle name="Тысячи [0]_22гк" xfId="1932"/>
    <cellStyle name="Тысячи_22гк" xfId="1933"/>
    <cellStyle name="ФИКСИРОВАННЫЙ" xfId="1934"/>
    <cellStyle name="ФИКСИРОВАННЫЙ 2" xfId="1935"/>
    <cellStyle name="ФИКСИРОВАННЫЙ 3" xfId="1936"/>
    <cellStyle name="ФИКСИРОВАННЫЙ 4" xfId="1937"/>
    <cellStyle name="ФИКСИРОВАННЫЙ 5" xfId="1938"/>
    <cellStyle name="ФИКСИРОВАННЫЙ 6" xfId="1939"/>
    <cellStyle name="ФИКСИРОВАННЫЙ 7" xfId="1940"/>
    <cellStyle name="ФИКСИРОВАННЫЙ 8" xfId="1941"/>
    <cellStyle name="ФИКСИРОВАННЫЙ 9" xfId="1942"/>
    <cellStyle name="ФИКСИРОВАННЫЙ_1" xfId="1943"/>
    <cellStyle name="Финансовый" xfId="1991" builtinId="3"/>
    <cellStyle name="Финансовый 2" xfId="1944"/>
    <cellStyle name="Финансовый 2 2" xfId="1945"/>
    <cellStyle name="Финансовый 2 2 2" xfId="1946"/>
    <cellStyle name="Финансовый 2 2_INDEX.STATION.2012(v1.0)_" xfId="1947"/>
    <cellStyle name="Финансовый 2 3" xfId="1948"/>
    <cellStyle name="Финансовый 2_46EE.2011(v1.0)" xfId="1949"/>
    <cellStyle name="Финансовый 3" xfId="1950"/>
    <cellStyle name="Финансовый 3 2" xfId="1951"/>
    <cellStyle name="Финансовый 3 3" xfId="1952"/>
    <cellStyle name="Финансовый 3 4" xfId="1953"/>
    <cellStyle name="Финансовый 3_INDEX.STATION.2012(v1.0)_" xfId="1954"/>
    <cellStyle name="Финансовый 4" xfId="1955"/>
    <cellStyle name="Финансовый 4 2" xfId="1956"/>
    <cellStyle name="Финансовый 6" xfId="1957"/>
    <cellStyle name="Финансовый0[0]_FU_bal" xfId="1958"/>
    <cellStyle name="Формула" xfId="1959"/>
    <cellStyle name="Формула 2" xfId="1960"/>
    <cellStyle name="Формула 3" xfId="1961"/>
    <cellStyle name="Формула_A РТ 2009 Рязаньэнерго" xfId="1962"/>
    <cellStyle name="ФормулаВБ" xfId="1963"/>
    <cellStyle name="ФормулаНаКонтроль" xfId="1964"/>
    <cellStyle name="Хороший 2" xfId="1965"/>
    <cellStyle name="Хороший 2 2" xfId="1966"/>
    <cellStyle name="Хороший 3" xfId="1967"/>
    <cellStyle name="Хороший 3 2" xfId="1968"/>
    <cellStyle name="Хороший 4" xfId="1969"/>
    <cellStyle name="Хороший 4 2" xfId="1970"/>
    <cellStyle name="Хороший 5" xfId="1971"/>
    <cellStyle name="Хороший 5 2" xfId="1972"/>
    <cellStyle name="Хороший 6" xfId="1973"/>
    <cellStyle name="Хороший 6 2" xfId="1974"/>
    <cellStyle name="Хороший 7" xfId="1975"/>
    <cellStyle name="Хороший 7 2" xfId="1976"/>
    <cellStyle name="Хороший 8" xfId="1977"/>
    <cellStyle name="Хороший 8 2" xfId="1978"/>
    <cellStyle name="Хороший 9" xfId="1979"/>
    <cellStyle name="Хороший 9 2" xfId="1980"/>
    <cellStyle name="Цена_продукта" xfId="1981"/>
    <cellStyle name="Цифры по центру с десятыми" xfId="1982"/>
    <cellStyle name="число" xfId="1983"/>
    <cellStyle name="Џђћ–…ќ’ќ›‰" xfId="1984"/>
    <cellStyle name="Шапка" xfId="1985"/>
    <cellStyle name="Шапка таблицы" xfId="1986"/>
    <cellStyle name="ШАУ" xfId="1987"/>
    <cellStyle name="標準_PL-CF sheet" xfId="1988"/>
    <cellStyle name="䁺_x0001_" xfId="1989"/>
  </cellStyles>
  <dxfs count="0"/>
  <tableStyles count="0" defaultTableStyle="TableStyleMedium9" defaultPivotStyle="PivotStyleLight16"/>
  <colors>
    <mruColors>
      <color rgb="FFFFFF99"/>
      <color rgb="FF66FFFF"/>
      <color rgb="FFFF99CC"/>
      <color rgb="FFFF3399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ru-RU" sz="1400">
                <a:latin typeface="Times New Roman" pitchFamily="18" charset="0"/>
                <a:cs typeface="Times New Roman" pitchFamily="18" charset="0"/>
              </a:rPr>
              <a:t>Динамика структуры потребления электроэнергии населением на территории Астраханской области за</a:t>
            </a:r>
            <a:r>
              <a:rPr lang="ru-RU" sz="1400" baseline="0">
                <a:latin typeface="Times New Roman" pitchFamily="18" charset="0"/>
                <a:cs typeface="Times New Roman" pitchFamily="18" charset="0"/>
              </a:rPr>
              <a:t> декабрь 2014 года, январь-июль 2015 года, (%)</a:t>
            </a:r>
            <a:endParaRPr lang="ru-RU" sz="1400">
              <a:latin typeface="Times New Roman" pitchFamily="18" charset="0"/>
              <a:cs typeface="Times New Roman" pitchFamily="18" charset="0"/>
            </a:endParaRP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'Прил№3 июль'!$A$4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invertIfNegative val="0"/>
          <c:cat>
            <c:numRef>
              <c:f>'Прил№3 июль'!$B$3:$I$3</c:f>
              <c:numCache>
                <c:formatCode>mmm\-yy</c:formatCode>
                <c:ptCount val="8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  <c:pt idx="7">
                  <c:v>42186</c:v>
                </c:pt>
              </c:numCache>
            </c:numRef>
          </c:cat>
          <c:val>
            <c:numRef>
              <c:f>'Прил№3 июль'!$B$4:$I$4</c:f>
              <c:numCache>
                <c:formatCode>0.000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'Прил№3 июль'!$A$5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'Прил№3 июль'!$B$3:$I$3</c:f>
              <c:numCache>
                <c:formatCode>mmm\-yy</c:formatCode>
                <c:ptCount val="8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  <c:pt idx="7">
                  <c:v>42186</c:v>
                </c:pt>
              </c:numCache>
            </c:numRef>
          </c:cat>
          <c:val>
            <c:numRef>
              <c:f>'Прил№3 июль'!$B$5:$I$5</c:f>
              <c:numCache>
                <c:formatCode>0.00</c:formatCode>
                <c:ptCount val="8"/>
                <c:pt idx="0" formatCode="0.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0">
                  <c:v>0</c:v>
                </c:pt>
                <c:pt idx="6" formatCode="0.000">
                  <c:v>0</c:v>
                </c:pt>
                <c:pt idx="7" formatCode="0.000">
                  <c:v>0</c:v>
                </c:pt>
              </c:numCache>
            </c:numRef>
          </c:val>
        </c:ser>
        <c:ser>
          <c:idx val="2"/>
          <c:order val="2"/>
          <c:tx>
            <c:strRef>
              <c:f>'Прил№3 июль'!$A$6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'Прил№3 июль'!$B$3:$I$3</c:f>
              <c:numCache>
                <c:formatCode>mmm\-yy</c:formatCode>
                <c:ptCount val="8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  <c:pt idx="7">
                  <c:v>42186</c:v>
                </c:pt>
              </c:numCache>
            </c:numRef>
          </c:cat>
          <c:val>
            <c:numRef>
              <c:f>'Прил№3 июль'!$B$6:$I$6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0">
                  <c:v>0</c:v>
                </c:pt>
                <c:pt idx="6" formatCode="0.000">
                  <c:v>0</c:v>
                </c:pt>
                <c:pt idx="7" formatCode="0.000">
                  <c:v>0</c:v>
                </c:pt>
              </c:numCache>
            </c:numRef>
          </c:val>
        </c:ser>
        <c:ser>
          <c:idx val="3"/>
          <c:order val="3"/>
          <c:tx>
            <c:strRef>
              <c:f>'Прил№3 июль'!$A$7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'Прил№3 июль'!$B$3:$I$3</c:f>
              <c:numCache>
                <c:formatCode>mmm\-yy</c:formatCode>
                <c:ptCount val="8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  <c:pt idx="7">
                  <c:v>42186</c:v>
                </c:pt>
              </c:numCache>
            </c:numRef>
          </c:cat>
          <c:val>
            <c:numRef>
              <c:f>'Прил№3 июль'!$B$7:$I$7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0">
                  <c:v>0</c:v>
                </c:pt>
                <c:pt idx="6" formatCode="0.000">
                  <c:v>0</c:v>
                </c:pt>
                <c:pt idx="7" formatCode="0.000">
                  <c:v>0</c:v>
                </c:pt>
              </c:numCache>
            </c:numRef>
          </c:val>
        </c:ser>
        <c:ser>
          <c:idx val="4"/>
          <c:order val="4"/>
          <c:tx>
            <c:strRef>
              <c:f>'Прил№3 июль'!$A$8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'Прил№3 июль'!$B$3:$I$3</c:f>
              <c:numCache>
                <c:formatCode>mmm\-yy</c:formatCode>
                <c:ptCount val="8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  <c:pt idx="7">
                  <c:v>42186</c:v>
                </c:pt>
              </c:numCache>
            </c:numRef>
          </c:cat>
          <c:val>
            <c:numRef>
              <c:f>'Прил№3 июль'!$B$8:$I$8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0">
                  <c:v>0</c:v>
                </c:pt>
                <c:pt idx="6" formatCode="0.000">
                  <c:v>0</c:v>
                </c:pt>
                <c:pt idx="7" formatCode="0.00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879192"/>
        <c:axId val="185878016"/>
      </c:barChart>
      <c:dateAx>
        <c:axId val="1858791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185878016"/>
        <c:crosses val="autoZero"/>
        <c:auto val="1"/>
        <c:lblOffset val="100"/>
        <c:baseTimeUnit val="months"/>
      </c:dateAx>
      <c:valAx>
        <c:axId val="18587801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in"/>
        <c:tickLblPos val="nextTo"/>
        <c:crossAx val="18587919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2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800" b="1" i="0" baseline="0">
                <a:effectLst/>
              </a:rPr>
              <a:t>Информация о структуре потребления электроэнергии населением на территории Астраханской области за 2017 год</a:t>
            </a:r>
          </a:p>
          <a:p>
            <a:pPr>
              <a:defRPr/>
            </a:pPr>
            <a:endParaRPr lang="ru-RU">
              <a:effectLst/>
            </a:endParaRPr>
          </a:p>
        </c:rich>
      </c:tx>
      <c:layout>
        <c:manualLayout>
          <c:xMode val="edge"/>
          <c:yMode val="edge"/>
          <c:x val="0.14299513279388823"/>
          <c:y val="1.4124374964078396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8333389334780154E-2"/>
          <c:y val="4.9905912184705727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dLbl>
              <c:idx val="4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№5'!$A$6:$A$10</c:f>
              <c:strCache>
                <c:ptCount val="5"/>
                <c:pt idx="0">
                  <c:v>Население, осуществляющее оплату по зонным тарифам (ночь)-(полупик (день) </c:v>
                </c:pt>
                <c:pt idx="1">
                  <c:v>Население, проживающее в городских населенных пунктах в домах с газовыми плитами</c:v>
                </c:pt>
                <c:pt idx="2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  <c:pt idx="3">
                  <c:v>Население, проживающее в сельских населенных пунктах</c:v>
                </c:pt>
                <c:pt idx="4">
                  <c:v>Потребители, приравненные к населению, в т.ч.: </c:v>
                </c:pt>
              </c:strCache>
            </c:strRef>
          </c:cat>
          <c:val>
            <c:numRef>
              <c:f>'Приложение №5'!$B$6:$B$10</c:f>
              <c:numCache>
                <c:formatCode>_-* #\ ##0.00_р_._-;\-* #\ ##0.00_р_._-;_-* "-"??_р_._-;_-@_-</c:formatCode>
                <c:ptCount val="5"/>
                <c:pt idx="0">
                  <c:v>0.12</c:v>
                </c:pt>
                <c:pt idx="1">
                  <c:v>58.7</c:v>
                </c:pt>
                <c:pt idx="2">
                  <c:v>4.3099999999999996</c:v>
                </c:pt>
                <c:pt idx="3">
                  <c:v>33.270000000000003</c:v>
                </c:pt>
                <c:pt idx="4">
                  <c:v>3.6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800" b="1" i="0" baseline="0">
                <a:effectLst/>
              </a:rPr>
              <a:t>Потребители, приравненные к населению</a:t>
            </a:r>
          </a:p>
          <a:p>
            <a:pPr>
              <a:defRPr/>
            </a:pPr>
            <a:endParaRPr lang="ru-RU">
              <a:effectLst/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8042061001122121E-2"/>
          <c:y val="0.24563501952779454"/>
          <c:w val="0.83987969067410406"/>
          <c:h val="0.66863934170501516"/>
        </c:manualLayout>
      </c:layout>
      <c:pie3DChart>
        <c:varyColors val="1"/>
        <c:ser>
          <c:idx val="0"/>
          <c:order val="0"/>
          <c:explosion val="52"/>
          <c:dPt>
            <c:idx val="0"/>
            <c:bubble3D val="0"/>
            <c:explosion val="72"/>
          </c:dPt>
          <c:dPt>
            <c:idx val="1"/>
            <c:bubble3D val="0"/>
            <c:explosion val="43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№5'!$A$11:$A$15</c:f>
              <c:strCache>
                <c:ptCount val="5"/>
                <c:pt idx="0">
                  <c:v>Исполнители коммунальных услуг</c:v>
                </c:pt>
                <c:pt idx="1">
                  <c:v>Садоводческие, огороднические или дачные некоммерческие объединения граждан</c:v>
                </c:pt>
                <c:pt idx="2">
                  <c:v>Религиозные организации</c:v>
                </c:pt>
                <c:pt idx="3">
                  <c:v>Бюджетные организации (в т.ч. проживание военнослужащих, содержание осужденных и т.п.)</c:v>
                </c:pt>
                <c:pt idx="4">
                  <c:v>Некоммерческие объединения граждан  (гаражно-строительные, гаражные кооперативы)</c:v>
                </c:pt>
              </c:strCache>
            </c:strRef>
          </c:cat>
          <c:val>
            <c:numRef>
              <c:f>'Приложение №5'!$B$11:$B$15</c:f>
              <c:numCache>
                <c:formatCode>_-* #\ ##0.00_р_._-;\-* #\ ##0.00_р_._-;_-* "-"??_р_._-;_-@_-</c:formatCode>
                <c:ptCount val="5"/>
                <c:pt idx="0">
                  <c:v>3.83</c:v>
                </c:pt>
                <c:pt idx="1">
                  <c:v>65.430000000000007</c:v>
                </c:pt>
                <c:pt idx="2">
                  <c:v>5.87</c:v>
                </c:pt>
                <c:pt idx="3">
                  <c:v>16.32</c:v>
                </c:pt>
                <c:pt idx="4">
                  <c:v>8.56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800" b="1" i="0" baseline="0">
                <a:effectLst/>
              </a:rPr>
              <a:t>Информация о структуре потребления электроэнергии населением на территории Астраханской области за 2-й квартал 2017 года</a:t>
            </a:r>
            <a:endParaRPr lang="ru-RU">
              <a:effectLst/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№6'!$A$6:$A$10</c:f>
              <c:strCache>
                <c:ptCount val="5"/>
                <c:pt idx="0">
                  <c:v>Население, осуществляющее оплату по зонным тарифам (ночь)-(полупик (день) </c:v>
                </c:pt>
                <c:pt idx="1">
                  <c:v>Население, проживающее в городских населенных пунктах в домах с газовыми плитами</c:v>
                </c:pt>
                <c:pt idx="2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  <c:pt idx="3">
                  <c:v>Население, проживающее в сельских населенных пунктах</c:v>
                </c:pt>
                <c:pt idx="4">
                  <c:v>Потребители, приравненные к населению , в т.ч.:</c:v>
                </c:pt>
              </c:strCache>
            </c:strRef>
          </c:cat>
          <c:val>
            <c:numRef>
              <c:f>'Приложение №6'!$B$6:$B$10</c:f>
              <c:numCache>
                <c:formatCode>_-* #\ ##0.00_р_._-;\-* #\ ##0.00_р_._-;_-* "-"??_р_._-;_-@_-</c:formatCode>
                <c:ptCount val="5"/>
                <c:pt idx="0">
                  <c:v>0.1</c:v>
                </c:pt>
                <c:pt idx="1">
                  <c:v>60.35</c:v>
                </c:pt>
                <c:pt idx="2">
                  <c:v>4.2699999999999996</c:v>
                </c:pt>
                <c:pt idx="3">
                  <c:v>32.11</c:v>
                </c:pt>
                <c:pt idx="4">
                  <c:v>3.17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Потребители,</a:t>
            </a:r>
            <a:r>
              <a:rPr lang="ru-RU" baseline="0"/>
              <a:t> приравненные к населению</a:t>
            </a:r>
          </a:p>
          <a:p>
            <a:pPr>
              <a:defRPr/>
            </a:pPr>
            <a:endParaRPr lang="ru-RU"/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№6'!$A$11:$A$15</c:f>
              <c:strCache>
                <c:ptCount val="5"/>
                <c:pt idx="0">
                  <c:v>Исполнители коммунальных услуг</c:v>
                </c:pt>
                <c:pt idx="1">
                  <c:v>Садоводческие, огороднические или дачные некоммерческие объединения граждан</c:v>
                </c:pt>
                <c:pt idx="2">
                  <c:v>Религиозные организации</c:v>
                </c:pt>
                <c:pt idx="3">
                  <c:v>Бюджетные организации (в т.ч. проживание военнослужащих, содержание осужденных и т.п.)</c:v>
                </c:pt>
                <c:pt idx="4">
                  <c:v>Некоммерческие объединения граждан  (гаражно-строительные, гаражные кооперативы)</c:v>
                </c:pt>
              </c:strCache>
            </c:strRef>
          </c:cat>
          <c:val>
            <c:numRef>
              <c:f>'Приложение №6'!$B$11:$B$15</c:f>
              <c:numCache>
                <c:formatCode>_-* #\ ##0.00_р_._-;\-* #\ ##0.00_р_._-;_-* "-"??_р_._-;_-@_-</c:formatCode>
                <c:ptCount val="5"/>
                <c:pt idx="0">
                  <c:v>3.8936932215234101</c:v>
                </c:pt>
                <c:pt idx="1">
                  <c:v>74.196990116801445</c:v>
                </c:pt>
                <c:pt idx="2">
                  <c:v>5.7801737047020065</c:v>
                </c:pt>
                <c:pt idx="3">
                  <c:v>18.43272686433064</c:v>
                </c:pt>
                <c:pt idx="4">
                  <c:v>-2.3035839073574924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ru-RU" sz="1800" b="1" i="0" baseline="0">
                <a:effectLst/>
              </a:rPr>
              <a:t>Информация о структуре потребления электроэнергии населением на территории Астраханской области за 1-ое полугодие 2017 года</a:t>
            </a:r>
            <a:endParaRPr lang="ru-RU">
              <a:effectLst/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7070041471402176E-2"/>
          <c:y val="0.32388902878155823"/>
          <c:w val="0.52909357629389986"/>
          <c:h val="0.60092259103139345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 7'!$A$7:$A$11</c:f>
              <c:strCache>
                <c:ptCount val="5"/>
                <c:pt idx="0">
                  <c:v>Население, осуществляющее оплату по зонным тарифам (ночь)-(полупик (день) </c:v>
                </c:pt>
                <c:pt idx="1">
                  <c:v>Население, проживающее в городских населенных пунктах в домах с газовыми плитами</c:v>
                </c:pt>
                <c:pt idx="2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  <c:pt idx="3">
                  <c:v>Население, проживающее в сельских населенных пунктах</c:v>
                </c:pt>
                <c:pt idx="4">
                  <c:v>Потребители, приравненные к населению , в т.ч.:</c:v>
                </c:pt>
              </c:strCache>
            </c:strRef>
          </c:cat>
          <c:val>
            <c:numRef>
              <c:f>'Приложение № 7'!$B$7:$B$11</c:f>
              <c:numCache>
                <c:formatCode>_-* #\ ##0.00_р_._-;\-* #\ ##0.00_р_._-;_-* "-"??_р_._-;_-@_-</c:formatCode>
                <c:ptCount val="5"/>
                <c:pt idx="0">
                  <c:v>0.08</c:v>
                </c:pt>
                <c:pt idx="1">
                  <c:v>57.9</c:v>
                </c:pt>
                <c:pt idx="2">
                  <c:v>3.77</c:v>
                </c:pt>
                <c:pt idx="3">
                  <c:v>35.24</c:v>
                </c:pt>
                <c:pt idx="4">
                  <c:v>3.01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Потребители,</a:t>
            </a:r>
            <a:r>
              <a:rPr lang="ru-RU" baseline="0"/>
              <a:t> приравненные к населению</a:t>
            </a:r>
            <a:endParaRPr lang="ru-RU"/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3.7037037037037035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 7'!$A$12:$A$16</c:f>
              <c:strCache>
                <c:ptCount val="5"/>
                <c:pt idx="0">
                  <c:v>Исполнители коммунальных услуг</c:v>
                </c:pt>
                <c:pt idx="1">
                  <c:v>Садоводческие, огороднические или дачные некоммерческие объединения граждан</c:v>
                </c:pt>
                <c:pt idx="2">
                  <c:v>Религиозные организации</c:v>
                </c:pt>
                <c:pt idx="3">
                  <c:v>Бюджетные организации (в т.ч. проживание военнослужащих, содержание осужденных и т.п.)</c:v>
                </c:pt>
                <c:pt idx="4">
                  <c:v>Некоммерческие объединения граждан  (гаражно-строительные, гаражные кооперативы)</c:v>
                </c:pt>
              </c:strCache>
            </c:strRef>
          </c:cat>
          <c:val>
            <c:numRef>
              <c:f>'Приложение № 7'!$B$12:$B$16</c:f>
              <c:numCache>
                <c:formatCode>_-* #\ ##0.00_р_._-;\-* #\ ##0.00_р_._-;_-* "-"??_р_._-;_-@_-</c:formatCode>
                <c:ptCount val="5"/>
                <c:pt idx="0">
                  <c:v>4.1399999999999997</c:v>
                </c:pt>
                <c:pt idx="1">
                  <c:v>61.62</c:v>
                </c:pt>
                <c:pt idx="2">
                  <c:v>7.98</c:v>
                </c:pt>
                <c:pt idx="3">
                  <c:v>17.91</c:v>
                </c:pt>
                <c:pt idx="4">
                  <c:v>8.35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>
                <a:latin typeface="Times New Roman" pitchFamily="18" charset="0"/>
                <a:cs typeface="Times New Roman" pitchFamily="18" charset="0"/>
              </a:rPr>
              <a:t>Динамика структуры потребления электрической энергии населением на территории Астраханской области за декабрь 2016 года и  2017 год</a:t>
            </a:r>
          </a:p>
        </c:rich>
      </c:tx>
      <c:layout>
        <c:manualLayout>
          <c:xMode val="edge"/>
          <c:yMode val="edge"/>
          <c:x val="0.14401295582733009"/>
          <c:y val="1.4981288135193347E-2"/>
        </c:manualLayout>
      </c:layout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'Приложение №3'!$A$5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invertIfNegative val="0"/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№3'!$B$5:$N$5</c:f>
              <c:numCache>
                <c:formatCode>0.000</c:formatCode>
                <c:ptCount val="13"/>
                <c:pt idx="0">
                  <c:v>4.9974005243236586E-2</c:v>
                </c:pt>
                <c:pt idx="1">
                  <c:v>0.23215676784535746</c:v>
                </c:pt>
                <c:pt idx="2" formatCode="General">
                  <c:v>7.0000000000000007E-2</c:v>
                </c:pt>
                <c:pt idx="3" formatCode="General">
                  <c:v>7.0000000000000007E-2</c:v>
                </c:pt>
                <c:pt idx="4" formatCode="General">
                  <c:v>0.09</c:v>
                </c:pt>
                <c:pt idx="5" formatCode="General">
                  <c:v>0.09</c:v>
                </c:pt>
                <c:pt idx="6" formatCode="General">
                  <c:v>0.12</c:v>
                </c:pt>
                <c:pt idx="7" formatCode="General">
                  <c:v>0.14000000000000001</c:v>
                </c:pt>
                <c:pt idx="8" formatCode="General">
                  <c:v>0.11</c:v>
                </c:pt>
                <c:pt idx="9" formatCode="General">
                  <c:v>0.1</c:v>
                </c:pt>
                <c:pt idx="10" formatCode="General">
                  <c:v>0.14000000000000001</c:v>
                </c:pt>
                <c:pt idx="11" formatCode="General">
                  <c:v>0.34</c:v>
                </c:pt>
                <c:pt idx="12" formatCode="General">
                  <c:v>0.13</c:v>
                </c:pt>
              </c:numCache>
            </c:numRef>
          </c:val>
        </c:ser>
        <c:ser>
          <c:idx val="1"/>
          <c:order val="1"/>
          <c:tx>
            <c:strRef>
              <c:f>'Приложение №3'!$A$6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№3'!$B$6:$N$6</c:f>
              <c:numCache>
                <c:formatCode>0.000</c:formatCode>
                <c:ptCount val="13"/>
                <c:pt idx="0">
                  <c:v>53.709035070182743</c:v>
                </c:pt>
                <c:pt idx="1">
                  <c:v>53.791341196848904</c:v>
                </c:pt>
                <c:pt idx="2" formatCode="General">
                  <c:v>53.44</c:v>
                </c:pt>
                <c:pt idx="3" formatCode="General">
                  <c:v>57.17</c:v>
                </c:pt>
                <c:pt idx="4" formatCode="General">
                  <c:v>58.99</c:v>
                </c:pt>
                <c:pt idx="5" formatCode="General">
                  <c:v>63.13</c:v>
                </c:pt>
                <c:pt idx="6" formatCode="General">
                  <c:v>59.2</c:v>
                </c:pt>
                <c:pt idx="7" formatCode="General">
                  <c:v>50.98</c:v>
                </c:pt>
                <c:pt idx="8" formatCode="General">
                  <c:v>68.98</c:v>
                </c:pt>
                <c:pt idx="9" formatCode="General">
                  <c:v>58.86</c:v>
                </c:pt>
                <c:pt idx="10" formatCode="General">
                  <c:v>60.9</c:v>
                </c:pt>
                <c:pt idx="11" formatCode="General">
                  <c:v>58.36</c:v>
                </c:pt>
                <c:pt idx="12" formatCode="General">
                  <c:v>59.49</c:v>
                </c:pt>
              </c:numCache>
            </c:numRef>
          </c:val>
        </c:ser>
        <c:ser>
          <c:idx val="2"/>
          <c:order val="2"/>
          <c:tx>
            <c:strRef>
              <c:f>'Приложение №3'!$A$7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№3'!$B$7:$N$7</c:f>
              <c:numCache>
                <c:formatCode>0.000</c:formatCode>
                <c:ptCount val="13"/>
                <c:pt idx="0">
                  <c:v>6.2250055441200267</c:v>
                </c:pt>
                <c:pt idx="1">
                  <c:v>6.0526723153556556</c:v>
                </c:pt>
                <c:pt idx="2" formatCode="General">
                  <c:v>3.38</c:v>
                </c:pt>
                <c:pt idx="3" formatCode="General">
                  <c:v>3.22</c:v>
                </c:pt>
                <c:pt idx="4" formatCode="General">
                  <c:v>4.2300000000000004</c:v>
                </c:pt>
                <c:pt idx="5" formatCode="General">
                  <c:v>2.62</c:v>
                </c:pt>
                <c:pt idx="6" formatCode="General">
                  <c:v>5.82</c:v>
                </c:pt>
                <c:pt idx="7" formatCode="General">
                  <c:v>3.48</c:v>
                </c:pt>
                <c:pt idx="8" formatCode="General">
                  <c:v>6.31</c:v>
                </c:pt>
                <c:pt idx="9" formatCode="General">
                  <c:v>5.72</c:v>
                </c:pt>
                <c:pt idx="10" formatCode="General">
                  <c:v>6.24</c:v>
                </c:pt>
                <c:pt idx="11" formatCode="General">
                  <c:v>3.29</c:v>
                </c:pt>
                <c:pt idx="12" formatCode="General">
                  <c:v>3.9</c:v>
                </c:pt>
              </c:numCache>
            </c:numRef>
          </c:val>
        </c:ser>
        <c:ser>
          <c:idx val="3"/>
          <c:order val="3"/>
          <c:tx>
            <c:strRef>
              <c:f>'Приложение №3'!$A$8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№3'!$B$8:$N$8</c:f>
              <c:numCache>
                <c:formatCode>0.000</c:formatCode>
                <c:ptCount val="13"/>
                <c:pt idx="0">
                  <c:v>38.224735887073116</c:v>
                </c:pt>
                <c:pt idx="1">
                  <c:v>36.028584096424382</c:v>
                </c:pt>
                <c:pt idx="2" formatCode="General">
                  <c:v>40.380000000000003</c:v>
                </c:pt>
                <c:pt idx="3" formatCode="General">
                  <c:v>36.79</c:v>
                </c:pt>
                <c:pt idx="4" formatCode="General">
                  <c:v>35.020000000000003</c:v>
                </c:pt>
                <c:pt idx="5" formatCode="General">
                  <c:v>29.93</c:v>
                </c:pt>
                <c:pt idx="6" formatCode="General">
                  <c:v>31.1</c:v>
                </c:pt>
                <c:pt idx="7" formatCode="General">
                  <c:v>42.24</c:v>
                </c:pt>
                <c:pt idx="8" formatCode="General">
                  <c:v>19.329999999999998</c:v>
                </c:pt>
                <c:pt idx="9" formatCode="General">
                  <c:v>28.61</c:v>
                </c:pt>
                <c:pt idx="10" formatCode="General">
                  <c:v>29.18</c:v>
                </c:pt>
                <c:pt idx="11" formatCode="General">
                  <c:v>35.229999999999997</c:v>
                </c:pt>
                <c:pt idx="12" formatCode="General">
                  <c:v>33.21</c:v>
                </c:pt>
              </c:numCache>
            </c:numRef>
          </c:val>
        </c:ser>
        <c:ser>
          <c:idx val="4"/>
          <c:order val="4"/>
          <c:tx>
            <c:strRef>
              <c:f>'Приложение №3'!$A$9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№3'!$B$9:$N$9</c:f>
              <c:numCache>
                <c:formatCode>0.000</c:formatCode>
                <c:ptCount val="13"/>
                <c:pt idx="0">
                  <c:v>1.7912494933808656</c:v>
                </c:pt>
                <c:pt idx="1">
                  <c:v>3.8952456235256929</c:v>
                </c:pt>
                <c:pt idx="2" formatCode="General">
                  <c:v>2.73</c:v>
                </c:pt>
                <c:pt idx="3" formatCode="General">
                  <c:v>2.75</c:v>
                </c:pt>
                <c:pt idx="4" formatCode="General">
                  <c:v>1.67</c:v>
                </c:pt>
                <c:pt idx="5" formatCode="General">
                  <c:v>4.2300000000000004</c:v>
                </c:pt>
                <c:pt idx="6" formatCode="General">
                  <c:v>3.76</c:v>
                </c:pt>
                <c:pt idx="7" formatCode="General">
                  <c:v>3.16</c:v>
                </c:pt>
                <c:pt idx="8" formatCode="General">
                  <c:v>5.27</c:v>
                </c:pt>
                <c:pt idx="9" formatCode="General">
                  <c:v>6.71</c:v>
                </c:pt>
                <c:pt idx="10" formatCode="General">
                  <c:v>3.54</c:v>
                </c:pt>
                <c:pt idx="11" formatCode="General">
                  <c:v>2.78</c:v>
                </c:pt>
                <c:pt idx="12" formatCode="General">
                  <c:v>3.27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1570456"/>
        <c:axId val="271570848"/>
      </c:barChart>
      <c:dateAx>
        <c:axId val="27157045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271570848"/>
        <c:crosses val="autoZero"/>
        <c:auto val="1"/>
        <c:lblOffset val="100"/>
        <c:baseTimeUnit val="months"/>
      </c:dateAx>
      <c:valAx>
        <c:axId val="27157084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271570456"/>
        <c:crosses val="autoZero"/>
        <c:crossBetween val="between"/>
      </c:valAx>
      <c:spPr>
        <a:scene3d>
          <a:camera prst="orthographicFront"/>
          <a:lightRig rig="threePt" dir="t"/>
        </a:scene3d>
        <a:sp3d prstMaterial="matte"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>
                <a:latin typeface="Times New Roman" pitchFamily="18" charset="0"/>
                <a:cs typeface="Times New Roman" pitchFamily="18" charset="0"/>
              </a:rPr>
              <a:t>Динамика структуры потребления электрической энергии населением на территории Астраханской области за декабрь 2016 года и  2017 год</a:t>
            </a:r>
          </a:p>
        </c:rich>
      </c:tx>
      <c:layout>
        <c:manualLayout>
          <c:xMode val="edge"/>
          <c:yMode val="edge"/>
          <c:x val="0.14401295582733009"/>
          <c:y val="1.4981288135193347E-2"/>
        </c:manualLayout>
      </c:layout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'Приложение №3'!$A$5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invertIfNegative val="0"/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№3'!$B$5:$N$5</c:f>
              <c:numCache>
                <c:formatCode>0.000</c:formatCode>
                <c:ptCount val="13"/>
                <c:pt idx="0">
                  <c:v>4.9974005243236586E-2</c:v>
                </c:pt>
                <c:pt idx="1">
                  <c:v>0.23215676784535746</c:v>
                </c:pt>
                <c:pt idx="2" formatCode="General">
                  <c:v>7.0000000000000007E-2</c:v>
                </c:pt>
                <c:pt idx="3" formatCode="General">
                  <c:v>7.0000000000000007E-2</c:v>
                </c:pt>
                <c:pt idx="4" formatCode="General">
                  <c:v>0.09</c:v>
                </c:pt>
                <c:pt idx="5" formatCode="General">
                  <c:v>0.09</c:v>
                </c:pt>
                <c:pt idx="6" formatCode="General">
                  <c:v>0.12</c:v>
                </c:pt>
                <c:pt idx="7" formatCode="General">
                  <c:v>0.14000000000000001</c:v>
                </c:pt>
                <c:pt idx="8" formatCode="General">
                  <c:v>0.11</c:v>
                </c:pt>
                <c:pt idx="9" formatCode="General">
                  <c:v>0.1</c:v>
                </c:pt>
                <c:pt idx="10" formatCode="General">
                  <c:v>0.14000000000000001</c:v>
                </c:pt>
                <c:pt idx="11" formatCode="General">
                  <c:v>0.34</c:v>
                </c:pt>
                <c:pt idx="12" formatCode="General">
                  <c:v>0.13</c:v>
                </c:pt>
              </c:numCache>
            </c:numRef>
          </c:val>
        </c:ser>
        <c:ser>
          <c:idx val="1"/>
          <c:order val="1"/>
          <c:tx>
            <c:strRef>
              <c:f>'Приложение №3'!$A$6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№3'!$B$6:$N$6</c:f>
              <c:numCache>
                <c:formatCode>0.000</c:formatCode>
                <c:ptCount val="13"/>
                <c:pt idx="0">
                  <c:v>53.709035070182743</c:v>
                </c:pt>
                <c:pt idx="1">
                  <c:v>53.791341196848904</c:v>
                </c:pt>
                <c:pt idx="2" formatCode="General">
                  <c:v>53.44</c:v>
                </c:pt>
                <c:pt idx="3" formatCode="General">
                  <c:v>57.17</c:v>
                </c:pt>
                <c:pt idx="4" formatCode="General">
                  <c:v>58.99</c:v>
                </c:pt>
                <c:pt idx="5" formatCode="General">
                  <c:v>63.13</c:v>
                </c:pt>
                <c:pt idx="6" formatCode="General">
                  <c:v>59.2</c:v>
                </c:pt>
                <c:pt idx="7" formatCode="General">
                  <c:v>50.98</c:v>
                </c:pt>
                <c:pt idx="8" formatCode="General">
                  <c:v>68.98</c:v>
                </c:pt>
                <c:pt idx="9" formatCode="General">
                  <c:v>58.86</c:v>
                </c:pt>
                <c:pt idx="10" formatCode="General">
                  <c:v>60.9</c:v>
                </c:pt>
                <c:pt idx="11" formatCode="General">
                  <c:v>58.36</c:v>
                </c:pt>
                <c:pt idx="12" formatCode="General">
                  <c:v>59.49</c:v>
                </c:pt>
              </c:numCache>
            </c:numRef>
          </c:val>
        </c:ser>
        <c:ser>
          <c:idx val="2"/>
          <c:order val="2"/>
          <c:tx>
            <c:strRef>
              <c:f>'Приложение №3'!$A$7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№3'!$B$7:$N$7</c:f>
              <c:numCache>
                <c:formatCode>0.000</c:formatCode>
                <c:ptCount val="13"/>
                <c:pt idx="0">
                  <c:v>6.2250055441200267</c:v>
                </c:pt>
                <c:pt idx="1">
                  <c:v>6.0526723153556556</c:v>
                </c:pt>
                <c:pt idx="2" formatCode="General">
                  <c:v>3.38</c:v>
                </c:pt>
                <c:pt idx="3" formatCode="General">
                  <c:v>3.22</c:v>
                </c:pt>
                <c:pt idx="4" formatCode="General">
                  <c:v>4.2300000000000004</c:v>
                </c:pt>
                <c:pt idx="5" formatCode="General">
                  <c:v>2.62</c:v>
                </c:pt>
                <c:pt idx="6" formatCode="General">
                  <c:v>5.82</c:v>
                </c:pt>
                <c:pt idx="7" formatCode="General">
                  <c:v>3.48</c:v>
                </c:pt>
                <c:pt idx="8" formatCode="General">
                  <c:v>6.31</c:v>
                </c:pt>
                <c:pt idx="9" formatCode="General">
                  <c:v>5.72</c:v>
                </c:pt>
                <c:pt idx="10" formatCode="General">
                  <c:v>6.24</c:v>
                </c:pt>
                <c:pt idx="11" formatCode="General">
                  <c:v>3.29</c:v>
                </c:pt>
                <c:pt idx="12" formatCode="General">
                  <c:v>3.9</c:v>
                </c:pt>
              </c:numCache>
            </c:numRef>
          </c:val>
        </c:ser>
        <c:ser>
          <c:idx val="3"/>
          <c:order val="3"/>
          <c:tx>
            <c:strRef>
              <c:f>'Приложение №3'!$A$8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№3'!$B$8:$N$8</c:f>
              <c:numCache>
                <c:formatCode>0.000</c:formatCode>
                <c:ptCount val="13"/>
                <c:pt idx="0">
                  <c:v>38.224735887073116</c:v>
                </c:pt>
                <c:pt idx="1">
                  <c:v>36.028584096424382</c:v>
                </c:pt>
                <c:pt idx="2" formatCode="General">
                  <c:v>40.380000000000003</c:v>
                </c:pt>
                <c:pt idx="3" formatCode="General">
                  <c:v>36.79</c:v>
                </c:pt>
                <c:pt idx="4" formatCode="General">
                  <c:v>35.020000000000003</c:v>
                </c:pt>
                <c:pt idx="5" formatCode="General">
                  <c:v>29.93</c:v>
                </c:pt>
                <c:pt idx="6" formatCode="General">
                  <c:v>31.1</c:v>
                </c:pt>
                <c:pt idx="7" formatCode="General">
                  <c:v>42.24</c:v>
                </c:pt>
                <c:pt idx="8" formatCode="General">
                  <c:v>19.329999999999998</c:v>
                </c:pt>
                <c:pt idx="9" formatCode="General">
                  <c:v>28.61</c:v>
                </c:pt>
                <c:pt idx="10" formatCode="General">
                  <c:v>29.18</c:v>
                </c:pt>
                <c:pt idx="11" formatCode="General">
                  <c:v>35.229999999999997</c:v>
                </c:pt>
                <c:pt idx="12" formatCode="General">
                  <c:v>33.21</c:v>
                </c:pt>
              </c:numCache>
            </c:numRef>
          </c:val>
        </c:ser>
        <c:ser>
          <c:idx val="4"/>
          <c:order val="4"/>
          <c:tx>
            <c:strRef>
              <c:f>'Приложение №3'!$A$9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№3'!$B$9:$N$9</c:f>
              <c:numCache>
                <c:formatCode>0.000</c:formatCode>
                <c:ptCount val="13"/>
                <c:pt idx="0">
                  <c:v>1.7912494933808656</c:v>
                </c:pt>
                <c:pt idx="1">
                  <c:v>3.8952456235256929</c:v>
                </c:pt>
                <c:pt idx="2" formatCode="General">
                  <c:v>2.73</c:v>
                </c:pt>
                <c:pt idx="3" formatCode="General">
                  <c:v>2.75</c:v>
                </c:pt>
                <c:pt idx="4" formatCode="General">
                  <c:v>1.67</c:v>
                </c:pt>
                <c:pt idx="5" formatCode="General">
                  <c:v>4.2300000000000004</c:v>
                </c:pt>
                <c:pt idx="6" formatCode="General">
                  <c:v>3.76</c:v>
                </c:pt>
                <c:pt idx="7" formatCode="General">
                  <c:v>3.16</c:v>
                </c:pt>
                <c:pt idx="8" formatCode="General">
                  <c:v>5.27</c:v>
                </c:pt>
                <c:pt idx="9" formatCode="General">
                  <c:v>6.71</c:v>
                </c:pt>
                <c:pt idx="10" formatCode="General">
                  <c:v>3.54</c:v>
                </c:pt>
                <c:pt idx="11" formatCode="General">
                  <c:v>2.78</c:v>
                </c:pt>
                <c:pt idx="12" formatCode="General">
                  <c:v>3.27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2011224"/>
        <c:axId val="272011616"/>
      </c:barChart>
      <c:dateAx>
        <c:axId val="27201122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272011616"/>
        <c:crosses val="autoZero"/>
        <c:auto val="1"/>
        <c:lblOffset val="100"/>
        <c:baseTimeUnit val="months"/>
      </c:dateAx>
      <c:valAx>
        <c:axId val="27201161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272011224"/>
        <c:crosses val="autoZero"/>
        <c:crossBetween val="between"/>
      </c:valAx>
      <c:spPr>
        <a:scene3d>
          <a:camera prst="orthographicFront"/>
          <a:lightRig rig="threePt" dir="t"/>
        </a:scene3d>
        <a:sp3d prstMaterial="matte"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 изменения  объёмов потребления электрической энергии населением Астраханской области по месяцам (декабрь 2016 года,  2017 год) по группам населения</a:t>
            </a:r>
          </a:p>
          <a:p>
            <a:pPr>
              <a:defRPr/>
            </a:pPr>
            <a:endParaRPr lang="ru-RU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832866891117992E-2"/>
          <c:y val="0.1921330523365827"/>
          <c:w val="0.58062760896800292"/>
          <c:h val="0.75191684615849963"/>
        </c:manualLayout>
      </c:layout>
      <c:lineChart>
        <c:grouping val="standard"/>
        <c:varyColors val="0"/>
        <c:ser>
          <c:idx val="0"/>
          <c:order val="0"/>
          <c:tx>
            <c:strRef>
              <c:f>'Приложение №4'!$A$5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marker>
            <c:symbol val="none"/>
          </c:marker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№4'!$B$5:$N$5</c:f>
              <c:numCache>
                <c:formatCode>_-* #\ ##0.00_р_._-;\-* #\ ##0.00_р_._-;_-* "-"??_р_._-;_-@_-</c:formatCode>
                <c:ptCount val="13"/>
                <c:pt idx="0">
                  <c:v>91.175000000000011</c:v>
                </c:pt>
                <c:pt idx="1">
                  <c:v>159.482</c:v>
                </c:pt>
                <c:pt idx="2">
                  <c:v>57.75</c:v>
                </c:pt>
                <c:pt idx="3">
                  <c:v>50.55</c:v>
                </c:pt>
                <c:pt idx="4">
                  <c:v>61.59</c:v>
                </c:pt>
                <c:pt idx="5">
                  <c:v>56.07</c:v>
                </c:pt>
                <c:pt idx="6">
                  <c:v>80.233999999999995</c:v>
                </c:pt>
                <c:pt idx="7">
                  <c:v>130.94</c:v>
                </c:pt>
                <c:pt idx="8">
                  <c:v>86.39</c:v>
                </c:pt>
                <c:pt idx="9">
                  <c:v>84.06</c:v>
                </c:pt>
                <c:pt idx="10">
                  <c:v>108.06</c:v>
                </c:pt>
                <c:pt idx="11">
                  <c:v>255.8</c:v>
                </c:pt>
                <c:pt idx="12">
                  <c:v>103.12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'Приложение №4'!$A$6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marker>
            <c:symbol val="none"/>
          </c:marker>
          <c:dPt>
            <c:idx val="4"/>
            <c:bubble3D val="0"/>
            <c:spPr>
              <a:ln>
                <a:prstDash val="solid"/>
              </a:ln>
            </c:spPr>
          </c:dPt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№4'!$B$6:$N$6</c:f>
              <c:numCache>
                <c:formatCode>_-* #\ ##0.00_р_._-;\-* #\ ##0.00_р_._-;_-* "-"??_р_._-;_-@_-</c:formatCode>
                <c:ptCount val="13"/>
                <c:pt idx="0">
                  <c:v>43026.406999999999</c:v>
                </c:pt>
                <c:pt idx="1">
                  <c:v>36952.403999999995</c:v>
                </c:pt>
                <c:pt idx="2">
                  <c:v>43883.72</c:v>
                </c:pt>
                <c:pt idx="3">
                  <c:v>40913.56</c:v>
                </c:pt>
                <c:pt idx="4">
                  <c:v>41925.629999999997</c:v>
                </c:pt>
                <c:pt idx="5">
                  <c:v>39789.339999999997</c:v>
                </c:pt>
                <c:pt idx="6">
                  <c:v>40411.050000000003</c:v>
                </c:pt>
                <c:pt idx="7">
                  <c:v>46848.9</c:v>
                </c:pt>
                <c:pt idx="8">
                  <c:v>55917.14</c:v>
                </c:pt>
                <c:pt idx="9">
                  <c:v>47843.16</c:v>
                </c:pt>
                <c:pt idx="10">
                  <c:v>46621.78</c:v>
                </c:pt>
                <c:pt idx="11">
                  <c:v>43999.62</c:v>
                </c:pt>
                <c:pt idx="12">
                  <c:v>43191.74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'Приложение №4'!$A$7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marker>
            <c:symbol val="none"/>
          </c:marker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№4'!$B$7:$N$7</c:f>
              <c:numCache>
                <c:formatCode>_-* #\ ##0.00_р_._-;\-* #\ ##0.00_р_._-;_-* "-"??_р_._-;_-@_-</c:formatCode>
                <c:ptCount val="13"/>
                <c:pt idx="0">
                  <c:v>2594.0149999999999</c:v>
                </c:pt>
                <c:pt idx="1">
                  <c:v>4157.933</c:v>
                </c:pt>
                <c:pt idx="2">
                  <c:v>2774.39</c:v>
                </c:pt>
                <c:pt idx="3">
                  <c:v>2306.48</c:v>
                </c:pt>
                <c:pt idx="4">
                  <c:v>3010.23</c:v>
                </c:pt>
                <c:pt idx="5">
                  <c:v>1653.27</c:v>
                </c:pt>
                <c:pt idx="6">
                  <c:v>3966.556</c:v>
                </c:pt>
                <c:pt idx="7">
                  <c:v>3198.14</c:v>
                </c:pt>
                <c:pt idx="8">
                  <c:v>5116.8500000000004</c:v>
                </c:pt>
                <c:pt idx="9">
                  <c:v>4651.3999999999996</c:v>
                </c:pt>
                <c:pt idx="10">
                  <c:v>4778.01</c:v>
                </c:pt>
                <c:pt idx="11">
                  <c:v>2479.71</c:v>
                </c:pt>
                <c:pt idx="12">
                  <c:v>3224.13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'Приложение №4'!$A$8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marker>
            <c:symbol val="none"/>
          </c:marker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№4'!$B$8:$N$8</c:f>
              <c:numCache>
                <c:formatCode>_-* #\ ##0.00_р_._-;\-* #\ ##0.00_р_._-;_-* "-"??_р_._-;_-@_-</c:formatCode>
                <c:ptCount val="13"/>
                <c:pt idx="0">
                  <c:v>30358.713</c:v>
                </c:pt>
                <c:pt idx="1">
                  <c:v>24750.132000000001</c:v>
                </c:pt>
                <c:pt idx="2">
                  <c:v>33154.97</c:v>
                </c:pt>
                <c:pt idx="3">
                  <c:v>26336.52</c:v>
                </c:pt>
                <c:pt idx="4">
                  <c:v>24885.64</c:v>
                </c:pt>
                <c:pt idx="5">
                  <c:v>18862.34</c:v>
                </c:pt>
                <c:pt idx="6">
                  <c:v>21188.504000000001</c:v>
                </c:pt>
                <c:pt idx="7">
                  <c:v>38812.480000000003</c:v>
                </c:pt>
                <c:pt idx="8">
                  <c:v>15669.11</c:v>
                </c:pt>
                <c:pt idx="9">
                  <c:v>23252.91</c:v>
                </c:pt>
                <c:pt idx="10">
                  <c:v>22342.45</c:v>
                </c:pt>
                <c:pt idx="11">
                  <c:v>26560.36</c:v>
                </c:pt>
                <c:pt idx="12">
                  <c:v>27460.36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'Приложение №4'!$A$9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marker>
            <c:symbol val="none"/>
          </c:marker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№4'!$B$9:$N$9</c:f>
              <c:numCache>
                <c:formatCode>_-* #\ ##0.00_р_._-;\-* #\ ##0.00_р_._-;_-* "-"??_р_._-;_-@_-</c:formatCode>
                <c:ptCount val="13"/>
                <c:pt idx="0">
                  <c:v>3445.7099999999996</c:v>
                </c:pt>
                <c:pt idx="1">
                  <c:v>2675.8710000000001</c:v>
                </c:pt>
                <c:pt idx="2">
                  <c:v>2243.54</c:v>
                </c:pt>
                <c:pt idx="3">
                  <c:v>1697.63</c:v>
                </c:pt>
                <c:pt idx="4">
                  <c:v>1185.3800000000001</c:v>
                </c:pt>
                <c:pt idx="5">
                  <c:v>2666.23</c:v>
                </c:pt>
                <c:pt idx="6">
                  <c:v>2559.2739999999999</c:v>
                </c:pt>
                <c:pt idx="7">
                  <c:v>2889.47</c:v>
                </c:pt>
                <c:pt idx="8">
                  <c:v>4275.18</c:v>
                </c:pt>
                <c:pt idx="9">
                  <c:v>5452.34</c:v>
                </c:pt>
                <c:pt idx="10">
                  <c:v>2707.18</c:v>
                </c:pt>
                <c:pt idx="11">
                  <c:v>2094.67</c:v>
                </c:pt>
                <c:pt idx="12">
                  <c:v>2707.75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2012400"/>
        <c:axId val="272012792"/>
      </c:lineChart>
      <c:dateAx>
        <c:axId val="27201240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272012792"/>
        <c:crosses val="autoZero"/>
        <c:auto val="1"/>
        <c:lblOffset val="100"/>
        <c:baseTimeUnit val="months"/>
      </c:dateAx>
      <c:valAx>
        <c:axId val="272012792"/>
        <c:scaling>
          <c:orientation val="minMax"/>
        </c:scaling>
        <c:delete val="0"/>
        <c:axPos val="l"/>
        <c:majorGridlines/>
        <c:numFmt formatCode="_-* #\ ##0.00_р_._-;\-* #\ ##0.00_р_._-;_-* &quot;-&quot;??_р_._-;_-@_-" sourceLinked="1"/>
        <c:majorTickMark val="out"/>
        <c:minorTickMark val="none"/>
        <c:tickLblPos val="nextTo"/>
        <c:crossAx val="2720124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800" b="1" i="0" baseline="0">
                <a:effectLst/>
              </a:rPr>
              <a:t>Информация о структуре потребления электроэнергии населением на территории Астраханской области за 1-й квартал 2017 года</a:t>
            </a:r>
          </a:p>
          <a:p>
            <a:pPr>
              <a:defRPr/>
            </a:pPr>
            <a:endParaRPr lang="ru-RU">
              <a:effectLst/>
            </a:endParaRPr>
          </a:p>
        </c:rich>
      </c:tx>
      <c:layout>
        <c:manualLayout>
          <c:xMode val="edge"/>
          <c:yMode val="edge"/>
          <c:x val="0.14299513279388823"/>
          <c:y val="1.4124374964078396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8333389334780154E-2"/>
          <c:y val="4.9905912184705727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dLbl>
              <c:idx val="4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№5'!$A$6:$A$10</c:f>
              <c:strCache>
                <c:ptCount val="5"/>
                <c:pt idx="0">
                  <c:v>Население, осуществляющее оплату по зонным тарифам (ночь)-(полупик (день) </c:v>
                </c:pt>
                <c:pt idx="1">
                  <c:v>Население, проживающее в городских населенных пунктах в домах с газовыми плитами</c:v>
                </c:pt>
                <c:pt idx="2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  <c:pt idx="3">
                  <c:v>Население, проживающее в сельских населенных пунктах</c:v>
                </c:pt>
                <c:pt idx="4">
                  <c:v>Потребители, приравненные к населению, в т.ч.: </c:v>
                </c:pt>
              </c:strCache>
            </c:strRef>
          </c:cat>
          <c:val>
            <c:numRef>
              <c:f>'Приложение №5'!$B$6:$B$10</c:f>
              <c:numCache>
                <c:formatCode>_-* #\ ##0.00_р_._-;\-* #\ ##0.00_р_._-;_-* "-"??_р_._-;_-@_-</c:formatCode>
                <c:ptCount val="5"/>
                <c:pt idx="0">
                  <c:v>0.12</c:v>
                </c:pt>
                <c:pt idx="1">
                  <c:v>58.7</c:v>
                </c:pt>
                <c:pt idx="2">
                  <c:v>4.3099999999999996</c:v>
                </c:pt>
                <c:pt idx="3">
                  <c:v>33.270000000000003</c:v>
                </c:pt>
                <c:pt idx="4">
                  <c:v>3.6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ru-RU" sz="18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Информация о структуре потребления электроэнергии населением на территории Астраханской области за </a:t>
            </a:r>
            <a:r>
              <a:rPr lang="ru-RU" sz="18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2020 год, %</a:t>
            </a:r>
            <a:endParaRPr lang="ru-RU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3928570124638279"/>
          <c:y val="1.4124411275441276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092165203487497E-2"/>
          <c:y val="6.2135671604811434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6.1167024344223331E-2"/>
                  <c:y val="-2.0255866449834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2585172652745599"/>
                  <c:y val="-5.68663344291505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5.6796908030256672E-2"/>
                  <c:y val="-8.83647681080826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280354703198214"/>
                  <c:y val="2.47795449439582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8995818129907446E-2"/>
                  <c:y val="-3.19825835969201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'Приложение № 2'!$A$6:$A$11</c:f>
              <c:strCache>
                <c:ptCount val="6"/>
                <c:pt idx="0">
                  <c:v>Население, осуществляющее оплату по зонным тарифам (ночь)-(полупик (день) </c:v>
                </c:pt>
                <c:pt idx="1">
                  <c:v>Население, проживающее в городских населенных пунктах в домах с газовыми плитами</c:v>
                </c:pt>
                <c:pt idx="2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  <c:pt idx="3">
                  <c:v>Население, проживающее в сельских населенных пунктах</c:v>
                </c:pt>
                <c:pt idx="4">
                  <c:v>ИТОГО НАСЕЛЕНИЕ</c:v>
                </c:pt>
                <c:pt idx="5">
                  <c:v>Потребители, приравненные к населению</c:v>
                </c:pt>
              </c:strCache>
            </c:strRef>
          </c:cat>
          <c:val>
            <c:numRef>
              <c:f>'Приложение № 2'!$B$6:$B$11</c:f>
              <c:numCache>
                <c:formatCode>_-* #\ ##0.00_р_._-;\-* #\ ##0.00_р_._-;_-* "-"??_р_._-;_-@_-</c:formatCode>
                <c:ptCount val="6"/>
                <c:pt idx="0">
                  <c:v>8.1262982141684093E-2</c:v>
                </c:pt>
                <c:pt idx="1">
                  <c:v>53.624790085016329</c:v>
                </c:pt>
                <c:pt idx="2">
                  <c:v>4.8610647441732571</c:v>
                </c:pt>
                <c:pt idx="3">
                  <c:v>34.986714420898387</c:v>
                </c:pt>
                <c:pt idx="5">
                  <c:v>6.4461678084855256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2486487212099393"/>
          <c:y val="0.24698516669514722"/>
          <c:w val="0.2652040938276799"/>
          <c:h val="0.66380323462285618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800" b="1" i="0" baseline="0">
                <a:effectLst/>
              </a:rPr>
              <a:t>Потребители, приравненные к населению</a:t>
            </a:r>
          </a:p>
          <a:p>
            <a:pPr>
              <a:defRPr/>
            </a:pPr>
            <a:endParaRPr lang="ru-RU">
              <a:effectLst/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8042061001122121E-2"/>
          <c:y val="0.24563501952779454"/>
          <c:w val="0.83987969067410406"/>
          <c:h val="0.66863934170501516"/>
        </c:manualLayout>
      </c:layout>
      <c:pie3DChart>
        <c:varyColors val="1"/>
        <c:ser>
          <c:idx val="0"/>
          <c:order val="0"/>
          <c:explosion val="52"/>
          <c:dPt>
            <c:idx val="0"/>
            <c:bubble3D val="0"/>
            <c:explosion val="72"/>
          </c:dPt>
          <c:dPt>
            <c:idx val="1"/>
            <c:bubble3D val="0"/>
            <c:explosion val="43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№5'!$A$11:$A$15</c:f>
              <c:strCache>
                <c:ptCount val="5"/>
                <c:pt idx="0">
                  <c:v>Исполнители коммунальных услуг</c:v>
                </c:pt>
                <c:pt idx="1">
                  <c:v>Садоводческие, огороднические или дачные некоммерческие объединения граждан</c:v>
                </c:pt>
                <c:pt idx="2">
                  <c:v>Религиозные организации</c:v>
                </c:pt>
                <c:pt idx="3">
                  <c:v>Бюджетные организации (в т.ч. проживание военнослужащих, содержание осужденных и т.п.)</c:v>
                </c:pt>
                <c:pt idx="4">
                  <c:v>Некоммерческие объединения граждан  (гаражно-строительные, гаражные кооперативы)</c:v>
                </c:pt>
              </c:strCache>
            </c:strRef>
          </c:cat>
          <c:val>
            <c:numRef>
              <c:f>'Приложение №5'!$B$11:$B$15</c:f>
              <c:numCache>
                <c:formatCode>_-* #\ ##0.00_р_._-;\-* #\ ##0.00_р_._-;_-* "-"??_р_._-;_-@_-</c:formatCode>
                <c:ptCount val="5"/>
                <c:pt idx="0">
                  <c:v>3.83</c:v>
                </c:pt>
                <c:pt idx="1">
                  <c:v>65.430000000000007</c:v>
                </c:pt>
                <c:pt idx="2">
                  <c:v>5.87</c:v>
                </c:pt>
                <c:pt idx="3">
                  <c:v>16.32</c:v>
                </c:pt>
                <c:pt idx="4">
                  <c:v>8.56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800" b="1" i="0" baseline="0">
                <a:effectLst/>
              </a:rPr>
              <a:t>Информация о структуре потребления электроэнергии населением на территории Астраханской области за 2-й квартал 2017 года</a:t>
            </a:r>
            <a:endParaRPr lang="ru-RU">
              <a:effectLst/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№6'!$A$6:$A$10</c:f>
              <c:strCache>
                <c:ptCount val="5"/>
                <c:pt idx="0">
                  <c:v>Население, осуществляющее оплату по зонным тарифам (ночь)-(полупик (день) </c:v>
                </c:pt>
                <c:pt idx="1">
                  <c:v>Население, проживающее в городских населенных пунктах в домах с газовыми плитами</c:v>
                </c:pt>
                <c:pt idx="2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  <c:pt idx="3">
                  <c:v>Население, проживающее в сельских населенных пунктах</c:v>
                </c:pt>
                <c:pt idx="4">
                  <c:v>Потребители, приравненные к населению , в т.ч.:</c:v>
                </c:pt>
              </c:strCache>
            </c:strRef>
          </c:cat>
          <c:val>
            <c:numRef>
              <c:f>'Приложение №6'!$B$6:$B$10</c:f>
              <c:numCache>
                <c:formatCode>_-* #\ ##0.00_р_._-;\-* #\ ##0.00_р_._-;_-* "-"??_р_._-;_-@_-</c:formatCode>
                <c:ptCount val="5"/>
                <c:pt idx="0">
                  <c:v>0.1</c:v>
                </c:pt>
                <c:pt idx="1">
                  <c:v>60.35</c:v>
                </c:pt>
                <c:pt idx="2">
                  <c:v>4.2699999999999996</c:v>
                </c:pt>
                <c:pt idx="3">
                  <c:v>32.11</c:v>
                </c:pt>
                <c:pt idx="4">
                  <c:v>3.17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Потребители,</a:t>
            </a:r>
            <a:r>
              <a:rPr lang="ru-RU" baseline="0"/>
              <a:t> приравненные к населению</a:t>
            </a:r>
          </a:p>
          <a:p>
            <a:pPr>
              <a:defRPr/>
            </a:pPr>
            <a:endParaRPr lang="ru-RU"/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№6'!$A$11:$A$15</c:f>
              <c:strCache>
                <c:ptCount val="5"/>
                <c:pt idx="0">
                  <c:v>Исполнители коммунальных услуг</c:v>
                </c:pt>
                <c:pt idx="1">
                  <c:v>Садоводческие, огороднические или дачные некоммерческие объединения граждан</c:v>
                </c:pt>
                <c:pt idx="2">
                  <c:v>Религиозные организации</c:v>
                </c:pt>
                <c:pt idx="3">
                  <c:v>Бюджетные организации (в т.ч. проживание военнослужащих, содержание осужденных и т.п.)</c:v>
                </c:pt>
                <c:pt idx="4">
                  <c:v>Некоммерческие объединения граждан  (гаражно-строительные, гаражные кооперативы)</c:v>
                </c:pt>
              </c:strCache>
            </c:strRef>
          </c:cat>
          <c:val>
            <c:numRef>
              <c:f>'Приложение №6'!$B$11:$B$15</c:f>
              <c:numCache>
                <c:formatCode>_-* #\ ##0.00_р_._-;\-* #\ ##0.00_р_._-;_-* "-"??_р_._-;_-@_-</c:formatCode>
                <c:ptCount val="5"/>
                <c:pt idx="0">
                  <c:v>3.8936932215234101</c:v>
                </c:pt>
                <c:pt idx="1">
                  <c:v>74.196990116801445</c:v>
                </c:pt>
                <c:pt idx="2">
                  <c:v>5.7801737047020065</c:v>
                </c:pt>
                <c:pt idx="3">
                  <c:v>18.43272686433064</c:v>
                </c:pt>
                <c:pt idx="4">
                  <c:v>-2.3035839073574924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ru-RU" sz="1800" b="1" i="0" baseline="0">
                <a:effectLst/>
              </a:rPr>
              <a:t>Информация о структуре потребления электроэнергии населением на территории Астраханской области за 1-ое полугодие 2017 года</a:t>
            </a:r>
            <a:endParaRPr lang="ru-RU">
              <a:effectLst/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7070041471402176E-2"/>
          <c:y val="0.32388902878155823"/>
          <c:w val="0.52909357629389986"/>
          <c:h val="0.60092259103139345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 7'!$A$7:$A$11</c:f>
              <c:strCache>
                <c:ptCount val="5"/>
                <c:pt idx="0">
                  <c:v>Население, осуществляющее оплату по зонным тарифам (ночь)-(полупик (день) </c:v>
                </c:pt>
                <c:pt idx="1">
                  <c:v>Население, проживающее в городских населенных пунктах в домах с газовыми плитами</c:v>
                </c:pt>
                <c:pt idx="2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  <c:pt idx="3">
                  <c:v>Население, проживающее в сельских населенных пунктах</c:v>
                </c:pt>
                <c:pt idx="4">
                  <c:v>Потребители, приравненные к населению , в т.ч.:</c:v>
                </c:pt>
              </c:strCache>
            </c:strRef>
          </c:cat>
          <c:val>
            <c:numRef>
              <c:f>'Приложение № 7'!$B$7:$B$11</c:f>
              <c:numCache>
                <c:formatCode>_-* #\ ##0.00_р_._-;\-* #\ ##0.00_р_._-;_-* "-"??_р_._-;_-@_-</c:formatCode>
                <c:ptCount val="5"/>
                <c:pt idx="0">
                  <c:v>0.08</c:v>
                </c:pt>
                <c:pt idx="1">
                  <c:v>57.9</c:v>
                </c:pt>
                <c:pt idx="2">
                  <c:v>3.77</c:v>
                </c:pt>
                <c:pt idx="3">
                  <c:v>35.24</c:v>
                </c:pt>
                <c:pt idx="4">
                  <c:v>3.01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Потребители,</a:t>
            </a:r>
            <a:r>
              <a:rPr lang="ru-RU" baseline="0"/>
              <a:t> приравненные к населению</a:t>
            </a:r>
            <a:endParaRPr lang="ru-RU"/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3.7037037037037035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 7'!$A$12:$A$16</c:f>
              <c:strCache>
                <c:ptCount val="5"/>
                <c:pt idx="0">
                  <c:v>Исполнители коммунальных услуг</c:v>
                </c:pt>
                <c:pt idx="1">
                  <c:v>Садоводческие, огороднические или дачные некоммерческие объединения граждан</c:v>
                </c:pt>
                <c:pt idx="2">
                  <c:v>Религиозные организации</c:v>
                </c:pt>
                <c:pt idx="3">
                  <c:v>Бюджетные организации (в т.ч. проживание военнослужащих, содержание осужденных и т.п.)</c:v>
                </c:pt>
                <c:pt idx="4">
                  <c:v>Некоммерческие объединения граждан  (гаражно-строительные, гаражные кооперативы)</c:v>
                </c:pt>
              </c:strCache>
            </c:strRef>
          </c:cat>
          <c:val>
            <c:numRef>
              <c:f>'Приложение № 7'!$B$12:$B$16</c:f>
              <c:numCache>
                <c:formatCode>_-* #\ ##0.00_р_._-;\-* #\ ##0.00_р_._-;_-* "-"??_р_._-;_-@_-</c:formatCode>
                <c:ptCount val="5"/>
                <c:pt idx="0">
                  <c:v>4.1399999999999997</c:v>
                </c:pt>
                <c:pt idx="1">
                  <c:v>61.62</c:v>
                </c:pt>
                <c:pt idx="2">
                  <c:v>7.98</c:v>
                </c:pt>
                <c:pt idx="3">
                  <c:v>17.91</c:v>
                </c:pt>
                <c:pt idx="4">
                  <c:v>8.35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Потребители, приравненные к населению,%</a:t>
            </a:r>
          </a:p>
          <a:p>
            <a:pPr>
              <a:defRPr/>
            </a:pPr>
            <a:endParaRPr lang="ru-RU"/>
          </a:p>
        </c:rich>
      </c:tx>
      <c:layout>
        <c:manualLayout>
          <c:xMode val="edge"/>
          <c:yMode val="edge"/>
          <c:x val="0.18695008607110097"/>
          <c:y val="1.81200431456775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6185423831644195E-2"/>
          <c:y val="0.21763030838205416"/>
          <c:w val="0.83987969067410406"/>
          <c:h val="0.66863934170501516"/>
        </c:manualLayout>
      </c:layout>
      <c:pie3DChart>
        <c:varyColors val="1"/>
        <c:ser>
          <c:idx val="0"/>
          <c:order val="0"/>
          <c:tx>
            <c:strRef>
              <c:f>'Приложение № 2'!$A$12:$A$18</c:f>
              <c:strCache>
                <c:ptCount val="7"/>
                <c:pt idx="0">
                  <c:v>Исполнители коммунальных услуг</c:v>
                </c:pt>
                <c:pt idx="1">
                  <c:v>Садоводческие, огороднические или дачные некоммерческие объединения граждан</c:v>
                </c:pt>
                <c:pt idx="2">
                  <c:v>Религиозные организации</c:v>
                </c:pt>
                <c:pt idx="3">
                  <c:v>Бюджетные организации (в т.ч. проживание военнослужащих, содержание осужденных и т.п.)</c:v>
                </c:pt>
                <c:pt idx="4">
                  <c:v>Некоммерческие объединения граждан  (гаражно-строительные, гаражные кооперативы)</c:v>
                </c:pt>
                <c:pt idx="5">
                  <c:v>Гарантирующие поставщики,приобретающие электрическую энергию(мощность) в целях дальнейшей продажи</c:v>
                </c:pt>
                <c:pt idx="6">
                  <c:v>Гарантирующие поставщики,энергосбытовые, энергоснабжающии организации,преобретающие электрическую энергию (мощность) в целях дальнейшей продажи</c:v>
                </c:pt>
              </c:strCache>
            </c:strRef>
          </c:tx>
          <c:explosion val="22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0000"/>
                      <a:shade val="51000"/>
                      <a:satMod val="130000"/>
                    </a:schemeClr>
                  </a:gs>
                  <a:gs pos="80000">
                    <a:schemeClr val="accent1">
                      <a:shade val="50000"/>
                      <a:shade val="93000"/>
                      <a:satMod val="130000"/>
                    </a:schemeClr>
                  </a:gs>
                  <a:gs pos="100000">
                    <a:schemeClr val="accent1">
                      <a:shade val="5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1">
                      <a:shade val="70000"/>
                      <a:shade val="51000"/>
                      <a:satMod val="130000"/>
                    </a:schemeClr>
                  </a:gs>
                  <a:gs pos="80000">
                    <a:schemeClr val="accent1">
                      <a:shade val="70000"/>
                      <a:shade val="93000"/>
                      <a:satMod val="130000"/>
                    </a:schemeClr>
                  </a:gs>
                  <a:gs pos="100000">
                    <a:schemeClr val="accent1">
                      <a:shade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1">
                      <a:shade val="90000"/>
                      <a:shade val="51000"/>
                      <a:satMod val="130000"/>
                    </a:schemeClr>
                  </a:gs>
                  <a:gs pos="80000">
                    <a:schemeClr val="accent1">
                      <a:shade val="90000"/>
                      <a:shade val="93000"/>
                      <a:satMod val="130000"/>
                    </a:schemeClr>
                  </a:gs>
                  <a:gs pos="100000">
                    <a:schemeClr val="accent1">
                      <a:shade val="9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1">
                      <a:tint val="90000"/>
                      <a:shade val="51000"/>
                      <a:satMod val="130000"/>
                    </a:schemeClr>
                  </a:gs>
                  <a:gs pos="80000">
                    <a:schemeClr val="accent1">
                      <a:tint val="90000"/>
                      <a:shade val="93000"/>
                      <a:satMod val="130000"/>
                    </a:schemeClr>
                  </a:gs>
                  <a:gs pos="100000">
                    <a:schemeClr val="accent1">
                      <a:tint val="9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1">
                      <a:tint val="70000"/>
                      <a:shade val="51000"/>
                      <a:satMod val="130000"/>
                    </a:schemeClr>
                  </a:gs>
                  <a:gs pos="80000">
                    <a:schemeClr val="accent1">
                      <a:tint val="70000"/>
                      <a:shade val="93000"/>
                      <a:satMod val="130000"/>
                    </a:schemeClr>
                  </a:gs>
                  <a:gs pos="100000">
                    <a:schemeClr val="accent1">
                      <a:tint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1">
                      <a:tint val="50000"/>
                      <a:shade val="51000"/>
                      <a:satMod val="130000"/>
                    </a:schemeClr>
                  </a:gs>
                  <a:gs pos="80000">
                    <a:schemeClr val="accent1">
                      <a:tint val="50000"/>
                      <a:shade val="93000"/>
                      <a:satMod val="130000"/>
                    </a:schemeClr>
                  </a:gs>
                  <a:gs pos="100000">
                    <a:schemeClr val="accent1">
                      <a:tint val="5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</c:dPt>
          <c:dLbls>
            <c:dLbl>
              <c:idx val="0"/>
              <c:layout>
                <c:manualLayout>
                  <c:x val="9.0771642952951453E-2"/>
                  <c:y val="-4.482911041595043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20832334957293383"/>
                  <c:y val="-0.1256525316956853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8532734429536825E-2"/>
                  <c:y val="5.719345969844370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7.0567338301457175E-4"/>
                  <c:y val="-4.26448669978981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5.9553161239862436E-2"/>
                  <c:y val="-0.12200931951876884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6290836260238076"/>
                  <c:y val="6.6192839265864875E-2"/>
                </c:manualLayout>
              </c:layout>
              <c:tx>
                <c:rich>
                  <a:bodyPr/>
                  <a:lstStyle/>
                  <a:p>
                    <a:endParaRPr lang="ru-RU" baseline="0"/>
                  </a:p>
                  <a:p>
                    <a:r>
                      <a:rPr lang="ru-RU" baseline="0"/>
                      <a:t>Гарантирующие поставщики,энергосбытовые, энергоснабжающии организации,преобретающие электрическую энергию (мощность) в целях дальнейшей продажи; 23,40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 2'!$A$12:$A$18</c:f>
              <c:strCache>
                <c:ptCount val="6"/>
                <c:pt idx="0">
                  <c:v>Исполнители коммунальных услуг</c:v>
                </c:pt>
                <c:pt idx="1">
                  <c:v>Садоводческие, огороднические или дачные некоммерческие объединения граждан</c:v>
                </c:pt>
                <c:pt idx="2">
                  <c:v>Религиозные организации</c:v>
                </c:pt>
                <c:pt idx="3">
                  <c:v>Бюджетные организации (в т.ч. проживание военнослужащих, содержание осужденных и т.п.)</c:v>
                </c:pt>
                <c:pt idx="4">
                  <c:v>Некоммерческие объединения граждан  (гаражно-строительные, гаражные кооперативы)</c:v>
                </c:pt>
                <c:pt idx="5">
                  <c:v>Гарантирующие поставщики,энергосбытовые, энергоснабжающии организации,преобретающие электрическую энергию (мощность) в целях дальнейшей продажи</c:v>
                </c:pt>
              </c:strCache>
            </c:strRef>
          </c:cat>
          <c:val>
            <c:numRef>
              <c:f>'Приложение № 2'!$B$12:$B$18</c:f>
              <c:numCache>
                <c:formatCode>_-* #\ ##0.00_р_._-;\-* #\ ##0.00_р_._-;_-* "-"??_р_._-;_-@_-</c:formatCode>
                <c:ptCount val="6"/>
                <c:pt idx="0">
                  <c:v>50.914993379577211</c:v>
                </c:pt>
                <c:pt idx="1">
                  <c:v>26.456693877790975</c:v>
                </c:pt>
                <c:pt idx="2">
                  <c:v>3.4133668524217295</c:v>
                </c:pt>
                <c:pt idx="3">
                  <c:v>1.29941556070441</c:v>
                </c:pt>
                <c:pt idx="4">
                  <c:v>5.835448689600482</c:v>
                </c:pt>
                <c:pt idx="5" formatCode="0.0000">
                  <c:v>12.080081639905176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>
                <a:latin typeface="Times New Roman" pitchFamily="18" charset="0"/>
                <a:cs typeface="Times New Roman" pitchFamily="18" charset="0"/>
              </a:rPr>
              <a:t>Динамика структуры потребления электрической энергии населением на территории Астраханской области за 2020 год, %</a:t>
            </a:r>
          </a:p>
        </c:rich>
      </c:tx>
      <c:layout>
        <c:manualLayout>
          <c:xMode val="edge"/>
          <c:yMode val="edge"/>
          <c:x val="0.14401295582733009"/>
          <c:y val="1.4981288135193347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'Приложение № 3'!$A$5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invertIfNegative val="0"/>
          <c:cat>
            <c:numRef>
              <c:f>'Приложение № 3'!$B$4:$M$4</c:f>
              <c:numCache>
                <c:formatCode>mmm\-yy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'Приложение № 3'!$B$5:$M$5</c:f>
              <c:numCache>
                <c:formatCode>0.00</c:formatCode>
                <c:ptCount val="12"/>
                <c:pt idx="0">
                  <c:v>0.23215676784535746</c:v>
                </c:pt>
                <c:pt idx="1">
                  <c:v>0.22806958821743592</c:v>
                </c:pt>
                <c:pt idx="2">
                  <c:v>5.4479150014388961E-3</c:v>
                </c:pt>
                <c:pt idx="3">
                  <c:v>7.732948980688123E-2</c:v>
                </c:pt>
                <c:pt idx="4">
                  <c:v>4.8831327124340122E-2</c:v>
                </c:pt>
                <c:pt idx="5" formatCode="0.000">
                  <c:v>1.3224976298121434E-3</c:v>
                </c:pt>
                <c:pt idx="6">
                  <c:v>6.8169195932592783E-2</c:v>
                </c:pt>
                <c:pt idx="7">
                  <c:v>8.5206406195138668E-2</c:v>
                </c:pt>
                <c:pt idx="8">
                  <c:v>0.05</c:v>
                </c:pt>
                <c:pt idx="9" formatCode="General">
                  <c:v>0.1</c:v>
                </c:pt>
                <c:pt idx="10" formatCode="General">
                  <c:v>0.05</c:v>
                </c:pt>
                <c:pt idx="11" formatCode="General">
                  <c:v>0.04</c:v>
                </c:pt>
              </c:numCache>
            </c:numRef>
          </c:val>
        </c:ser>
        <c:ser>
          <c:idx val="1"/>
          <c:order val="1"/>
          <c:tx>
            <c:strRef>
              <c:f>'Приложение № 3'!$A$6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 3'!$B$4:$M$4</c:f>
              <c:numCache>
                <c:formatCode>mmm\-yy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'Приложение № 3'!$B$6:$M$6</c:f>
              <c:numCache>
                <c:formatCode>0.00</c:formatCode>
                <c:ptCount val="12"/>
                <c:pt idx="0">
                  <c:v>53.791341196848904</c:v>
                </c:pt>
                <c:pt idx="1">
                  <c:v>49.171723656025215</c:v>
                </c:pt>
                <c:pt idx="2">
                  <c:v>53.010103311510505</c:v>
                </c:pt>
                <c:pt idx="3">
                  <c:v>54.535916910307193</c:v>
                </c:pt>
                <c:pt idx="4">
                  <c:v>56.665025080420804</c:v>
                </c:pt>
                <c:pt idx="5">
                  <c:v>58.268361527980737</c:v>
                </c:pt>
                <c:pt idx="6">
                  <c:v>60.560174213941231</c:v>
                </c:pt>
                <c:pt idx="7">
                  <c:v>58.561514174162674</c:v>
                </c:pt>
                <c:pt idx="8" formatCode="General">
                  <c:v>51.52</c:v>
                </c:pt>
                <c:pt idx="9" formatCode="General">
                  <c:v>49.92</c:v>
                </c:pt>
                <c:pt idx="10" formatCode="General">
                  <c:v>47.74</c:v>
                </c:pt>
                <c:pt idx="11" formatCode="General">
                  <c:v>47.37</c:v>
                </c:pt>
              </c:numCache>
            </c:numRef>
          </c:val>
        </c:ser>
        <c:ser>
          <c:idx val="2"/>
          <c:order val="2"/>
          <c:tx>
            <c:strRef>
              <c:f>'Приложение № 3'!$A$7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invertIfNegative val="0"/>
          <c:dLbls>
            <c:dLbl>
              <c:idx val="5"/>
              <c:layout>
                <c:manualLayout>
                  <c:x val="1.838798740292486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 3'!$B$4:$M$4</c:f>
              <c:numCache>
                <c:formatCode>mmm\-yy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'Приложение № 3'!$B$7:$M$7</c:f>
              <c:numCache>
                <c:formatCode>0.00</c:formatCode>
                <c:ptCount val="12"/>
                <c:pt idx="0">
                  <c:v>6.0526723153556556</c:v>
                </c:pt>
                <c:pt idx="1">
                  <c:v>3.7895657081549303</c:v>
                </c:pt>
                <c:pt idx="2">
                  <c:v>5.5645954541992984</c:v>
                </c:pt>
                <c:pt idx="3">
                  <c:v>5.1303201822913991</c:v>
                </c:pt>
                <c:pt idx="4">
                  <c:v>4.2171637137495281</c:v>
                </c:pt>
                <c:pt idx="5">
                  <c:v>7.1973719346112022</c:v>
                </c:pt>
                <c:pt idx="6">
                  <c:v>4.7320056395208709</c:v>
                </c:pt>
                <c:pt idx="7">
                  <c:v>5.4955152750892573</c:v>
                </c:pt>
                <c:pt idx="8" formatCode="General">
                  <c:v>3.52</c:v>
                </c:pt>
                <c:pt idx="9" formatCode="General">
                  <c:v>3.3</c:v>
                </c:pt>
                <c:pt idx="10" formatCode="General">
                  <c:v>5.62</c:v>
                </c:pt>
                <c:pt idx="11" formatCode="General">
                  <c:v>3.58</c:v>
                </c:pt>
              </c:numCache>
            </c:numRef>
          </c:val>
        </c:ser>
        <c:ser>
          <c:idx val="3"/>
          <c:order val="3"/>
          <c:tx>
            <c:strRef>
              <c:f>'Приложение № 3'!$A$8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 3'!$B$4:$M$4</c:f>
              <c:numCache>
                <c:formatCode>mmm\-yy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'Приложение № 3'!$B$8:$M$8</c:f>
              <c:numCache>
                <c:formatCode>0.00</c:formatCode>
                <c:ptCount val="12"/>
                <c:pt idx="0">
                  <c:v>36.028584096424382</c:v>
                </c:pt>
                <c:pt idx="1">
                  <c:v>44.568072118291745</c:v>
                </c:pt>
                <c:pt idx="2">
                  <c:v>38.191267273587407</c:v>
                </c:pt>
                <c:pt idx="3">
                  <c:v>37.049308315429357</c:v>
                </c:pt>
                <c:pt idx="4">
                  <c:v>35.219951694553266</c:v>
                </c:pt>
                <c:pt idx="5">
                  <c:v>30.558098396223883</c:v>
                </c:pt>
                <c:pt idx="6">
                  <c:v>31.195218009863151</c:v>
                </c:pt>
                <c:pt idx="7">
                  <c:v>32.469322686418693</c:v>
                </c:pt>
                <c:pt idx="8" formatCode="General">
                  <c:v>33.25</c:v>
                </c:pt>
                <c:pt idx="9" formatCode="General">
                  <c:v>34.21</c:v>
                </c:pt>
                <c:pt idx="10" formatCode="General">
                  <c:v>33.56</c:v>
                </c:pt>
                <c:pt idx="11" formatCode="General">
                  <c:v>35.47</c:v>
                </c:pt>
              </c:numCache>
            </c:numRef>
          </c:val>
        </c:ser>
        <c:ser>
          <c:idx val="4"/>
          <c:order val="4"/>
          <c:tx>
            <c:strRef>
              <c:f>'Приложение № 3'!$A$9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 3'!$B$4:$M$4</c:f>
              <c:numCache>
                <c:formatCode>mmm\-yy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'Приложение № 3'!$B$9:$M$9</c:f>
              <c:numCache>
                <c:formatCode>0.00</c:formatCode>
                <c:ptCount val="12"/>
                <c:pt idx="0">
                  <c:v>3.8952456235256929</c:v>
                </c:pt>
                <c:pt idx="1">
                  <c:v>2.2425689293106612</c:v>
                </c:pt>
                <c:pt idx="2">
                  <c:v>3.2285860457013684</c:v>
                </c:pt>
                <c:pt idx="3">
                  <c:v>3.207125102165175</c:v>
                </c:pt>
                <c:pt idx="4">
                  <c:v>3.8490281841520533</c:v>
                </c:pt>
                <c:pt idx="5">
                  <c:v>3.9748456435543789</c:v>
                </c:pt>
                <c:pt idx="6">
                  <c:v>3.4444329407421654</c:v>
                </c:pt>
                <c:pt idx="7">
                  <c:v>3.3884414581342268</c:v>
                </c:pt>
                <c:pt idx="8" formatCode="General">
                  <c:v>11.66</c:v>
                </c:pt>
                <c:pt idx="9" formatCode="General">
                  <c:v>12.47</c:v>
                </c:pt>
                <c:pt idx="10" formatCode="General">
                  <c:v>13.03</c:v>
                </c:pt>
                <c:pt idx="11" formatCode="General">
                  <c:v>13.53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881152"/>
        <c:axId val="185881544"/>
      </c:barChart>
      <c:dateAx>
        <c:axId val="18588115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85881544"/>
        <c:crosses val="autoZero"/>
        <c:auto val="1"/>
        <c:lblOffset val="100"/>
        <c:baseTimeUnit val="months"/>
      </c:dateAx>
      <c:valAx>
        <c:axId val="18588154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85881152"/>
        <c:crosses val="autoZero"/>
        <c:crossBetween val="between"/>
      </c:valAx>
      <c:spPr>
        <a:scene3d>
          <a:camera prst="orthographicFront"/>
          <a:lightRig rig="threePt" dir="t"/>
        </a:scene3d>
        <a:sp3d prstMaterial="matte"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 изменения  объёмов потребления электрической энергии населением Астраханской области по месяцам </a:t>
            </a:r>
          </a:p>
          <a:p>
            <a:pPr>
              <a:defRPr/>
            </a:pPr>
            <a:r>
              <a:rPr lang="ru-RU"/>
              <a:t>(</a:t>
            </a:r>
            <a:r>
              <a:rPr lang="ru-RU" sz="1800" b="1" i="0" u="none" strike="noStrike" baseline="0">
                <a:effectLst/>
              </a:rPr>
              <a:t>за 2020 год</a:t>
            </a:r>
            <a:r>
              <a:rPr lang="ru-RU"/>
              <a:t>) по группам населения, тыс.кВтч</a:t>
            </a:r>
          </a:p>
          <a:p>
            <a:pPr>
              <a:defRPr/>
            </a:pPr>
            <a:endParaRPr lang="ru-RU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832866891117992E-2"/>
          <c:y val="0.1921330523365827"/>
          <c:w val="0.58062760896800292"/>
          <c:h val="0.75191684615849963"/>
        </c:manualLayout>
      </c:layout>
      <c:lineChart>
        <c:grouping val="standard"/>
        <c:varyColors val="0"/>
        <c:ser>
          <c:idx val="0"/>
          <c:order val="0"/>
          <c:tx>
            <c:strRef>
              <c:f>'Приложение № 4'!$A$5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marker>
            <c:symbol val="none"/>
          </c:marker>
          <c:cat>
            <c:numRef>
              <c:f>'Приложение № 4'!$B$4:$M$4</c:f>
              <c:numCache>
                <c:formatCode>mmm\-yy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'Приложение № 4'!$B$5:$M$5</c:f>
              <c:numCache>
                <c:formatCode>_-* #\ ##0.00_р_._-;\-* #\ ##0.00_р_._-;_-* "-"??_р_._-;_-@_-</c:formatCode>
                <c:ptCount val="12"/>
                <c:pt idx="0">
                  <c:v>159.482</c:v>
                </c:pt>
                <c:pt idx="1">
                  <c:v>182.88300000000001</c:v>
                </c:pt>
                <c:pt idx="2">
                  <c:v>3.931</c:v>
                </c:pt>
                <c:pt idx="3">
                  <c:v>57.769000000000005</c:v>
                </c:pt>
                <c:pt idx="4">
                  <c:v>32.963999999999999</c:v>
                </c:pt>
                <c:pt idx="5">
                  <c:v>1.113</c:v>
                </c:pt>
                <c:pt idx="6" formatCode="General">
                  <c:v>69.846000000000004</c:v>
                </c:pt>
                <c:pt idx="7" formatCode="General">
                  <c:v>75.789999999999992</c:v>
                </c:pt>
                <c:pt idx="8" formatCode="General">
                  <c:v>36.56</c:v>
                </c:pt>
                <c:pt idx="9" formatCode="General">
                  <c:v>75.28</c:v>
                </c:pt>
                <c:pt idx="10" formatCode="General">
                  <c:v>38.229999999999997</c:v>
                </c:pt>
                <c:pt idx="11" formatCode="General">
                  <c:v>38.11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'Приложение № 4'!$A$6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marker>
            <c:symbol val="none"/>
          </c:marker>
          <c:dPt>
            <c:idx val="4"/>
            <c:bubble3D val="0"/>
            <c:spPr>
              <a:ln>
                <a:prstDash val="solid"/>
              </a:ln>
            </c:spPr>
          </c:dPt>
          <c:cat>
            <c:numRef>
              <c:f>'Приложение № 4'!$B$4:$M$4</c:f>
              <c:numCache>
                <c:formatCode>mmm\-yy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'Приложение № 4'!$B$6:$M$6</c:f>
              <c:numCache>
                <c:formatCode>_-* #\ ##0.00_р_._-;\-* #\ ##0.00_р_._-;_-* "-"??_р_._-;_-@_-</c:formatCode>
                <c:ptCount val="12"/>
                <c:pt idx="0">
                  <c:v>36952.403999999995</c:v>
                </c:pt>
                <c:pt idx="1">
                  <c:v>39429.510999999999</c:v>
                </c:pt>
                <c:pt idx="2">
                  <c:v>38249.994000000006</c:v>
                </c:pt>
                <c:pt idx="3">
                  <c:v>40741.06</c:v>
                </c:pt>
                <c:pt idx="4">
                  <c:v>38252.203999999998</c:v>
                </c:pt>
                <c:pt idx="5">
                  <c:v>49038.036</c:v>
                </c:pt>
                <c:pt idx="6" formatCode="General">
                  <c:v>62049.814000000006</c:v>
                </c:pt>
                <c:pt idx="7" formatCode="General">
                  <c:v>52089.712</c:v>
                </c:pt>
                <c:pt idx="8" formatCode="General">
                  <c:v>38427.980000000003</c:v>
                </c:pt>
                <c:pt idx="9" formatCode="General">
                  <c:v>36117.410000000003</c:v>
                </c:pt>
                <c:pt idx="10" formatCode="General">
                  <c:v>37327.64</c:v>
                </c:pt>
                <c:pt idx="11" formatCode="General">
                  <c:v>40727.86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'Приложение № 4'!$A$7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marker>
            <c:symbol val="none"/>
          </c:marker>
          <c:cat>
            <c:numRef>
              <c:f>'Приложение № 4'!$B$4:$M$4</c:f>
              <c:numCache>
                <c:formatCode>mmm\-yy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'Приложение № 4'!$B$7:$M$7</c:f>
              <c:numCache>
                <c:formatCode>_-* #\ ##0.00_р_._-;\-* #\ ##0.00_р_._-;_-* "-"??_р_._-;_-@_-</c:formatCode>
                <c:ptCount val="12"/>
                <c:pt idx="0">
                  <c:v>4157.933</c:v>
                </c:pt>
                <c:pt idx="1">
                  <c:v>3038.7530000000002</c:v>
                </c:pt>
                <c:pt idx="2">
                  <c:v>4015.192</c:v>
                </c:pt>
                <c:pt idx="3">
                  <c:v>3832.6060000000002</c:v>
                </c:pt>
                <c:pt idx="4">
                  <c:v>2846.8319999999999</c:v>
                </c:pt>
                <c:pt idx="5">
                  <c:v>6057.232</c:v>
                </c:pt>
                <c:pt idx="6" formatCode="General">
                  <c:v>4848.402</c:v>
                </c:pt>
                <c:pt idx="7" formatCode="General">
                  <c:v>4888.1899999999996</c:v>
                </c:pt>
                <c:pt idx="8" formatCode="General">
                  <c:v>2627.63</c:v>
                </c:pt>
                <c:pt idx="9" formatCode="General">
                  <c:v>2387.54</c:v>
                </c:pt>
                <c:pt idx="10" formatCode="General">
                  <c:v>4396</c:v>
                </c:pt>
                <c:pt idx="11" formatCode="General">
                  <c:v>3080.91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'Приложение № 4'!$A$8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marker>
            <c:symbol val="none"/>
          </c:marker>
          <c:cat>
            <c:numRef>
              <c:f>'Приложение № 4'!$B$4:$M$4</c:f>
              <c:numCache>
                <c:formatCode>mmm\-yy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'Приложение № 4'!$B$8:$M$8</c:f>
              <c:numCache>
                <c:formatCode>_-* #\ ##0.00_р_._-;\-* #\ ##0.00_р_._-;_-* "-"??_р_._-;_-@_-</c:formatCode>
                <c:ptCount val="12"/>
                <c:pt idx="0">
                  <c:v>24750.132000000001</c:v>
                </c:pt>
                <c:pt idx="1">
                  <c:v>35737.964</c:v>
                </c:pt>
                <c:pt idx="2">
                  <c:v>27557.308000000001</c:v>
                </c:pt>
                <c:pt idx="3">
                  <c:v>27677.687999999998</c:v>
                </c:pt>
                <c:pt idx="4">
                  <c:v>23775.526000000002</c:v>
                </c:pt>
                <c:pt idx="5">
                  <c:v>25717.371999999999</c:v>
                </c:pt>
                <c:pt idx="6" formatCode="General">
                  <c:v>31962.547999999999</c:v>
                </c:pt>
                <c:pt idx="7" formatCode="General">
                  <c:v>28881.044000000002</c:v>
                </c:pt>
                <c:pt idx="8" formatCode="General">
                  <c:v>24798.639999999999</c:v>
                </c:pt>
                <c:pt idx="9" formatCode="General">
                  <c:v>24752.79</c:v>
                </c:pt>
                <c:pt idx="10" formatCode="General">
                  <c:v>26240.53</c:v>
                </c:pt>
                <c:pt idx="11" formatCode="General">
                  <c:v>30501.439999999999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'Приложение № 4'!$A$9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marker>
            <c:symbol val="none"/>
          </c:marker>
          <c:cat>
            <c:numRef>
              <c:f>'Приложение № 4'!$B$4:$M$4</c:f>
              <c:numCache>
                <c:formatCode>mmm\-yy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'Приложение № 4'!$B$9:$M$9</c:f>
              <c:numCache>
                <c:formatCode>_-* #\ ##0.00_р_._-;\-* #\ ##0.00_р_._-;_-* "-"??_р_._-;_-@_-</c:formatCode>
                <c:ptCount val="12"/>
                <c:pt idx="0">
                  <c:v>2675.8710000000001</c:v>
                </c:pt>
                <c:pt idx="1">
                  <c:v>1798.2570000000001</c:v>
                </c:pt>
                <c:pt idx="2">
                  <c:v>2329.62</c:v>
                </c:pt>
                <c:pt idx="3">
                  <c:v>2395.8829999999998</c:v>
                </c:pt>
                <c:pt idx="4">
                  <c:v>2598.319</c:v>
                </c:pt>
                <c:pt idx="5">
                  <c:v>3345.1879999999996</c:v>
                </c:pt>
                <c:pt idx="6" formatCode="General">
                  <c:v>3529.1579999999999</c:v>
                </c:pt>
                <c:pt idx="7" formatCode="General">
                  <c:v>3013.9749999999999</c:v>
                </c:pt>
                <c:pt idx="8" formatCode="General">
                  <c:v>8699.7199999999993</c:v>
                </c:pt>
                <c:pt idx="9" formatCode="General">
                  <c:v>9019.5499999999993</c:v>
                </c:pt>
                <c:pt idx="10" formatCode="General">
                  <c:v>10191.74</c:v>
                </c:pt>
                <c:pt idx="11" formatCode="General">
                  <c:v>11637.48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8438008"/>
        <c:axId val="188438400"/>
      </c:lineChart>
      <c:dateAx>
        <c:axId val="188438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88438400"/>
        <c:crosses val="autoZero"/>
        <c:auto val="1"/>
        <c:lblOffset val="100"/>
        <c:baseTimeUnit val="months"/>
      </c:dateAx>
      <c:valAx>
        <c:axId val="188438400"/>
        <c:scaling>
          <c:orientation val="minMax"/>
        </c:scaling>
        <c:delete val="0"/>
        <c:axPos val="l"/>
        <c:majorGridlines/>
        <c:numFmt formatCode="_-* #\ ##0.00_р_._-;\-* #\ ##0.00_р_._-;_-* &quot;-&quot;??_р_._-;_-@_-" sourceLinked="1"/>
        <c:majorTickMark val="out"/>
        <c:minorTickMark val="none"/>
        <c:tickLblPos val="nextTo"/>
        <c:crossAx val="188438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>
                <a:latin typeface="Times New Roman" pitchFamily="18" charset="0"/>
                <a:cs typeface="Times New Roman" pitchFamily="18" charset="0"/>
              </a:rPr>
              <a:t>Динамика структуры потребления электрической энергии населением на территории Астраханской области за декабрь 2016 года и  2017 год</a:t>
            </a:r>
          </a:p>
        </c:rich>
      </c:tx>
      <c:layout>
        <c:manualLayout>
          <c:xMode val="edge"/>
          <c:yMode val="edge"/>
          <c:x val="0.14401295582733009"/>
          <c:y val="1.4981288135193347E-2"/>
        </c:manualLayout>
      </c:layout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'Приложение №3'!$A$5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invertIfNegative val="0"/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№3'!$B$5:$N$5</c:f>
              <c:numCache>
                <c:formatCode>0.000</c:formatCode>
                <c:ptCount val="13"/>
                <c:pt idx="0">
                  <c:v>4.9974005243236586E-2</c:v>
                </c:pt>
                <c:pt idx="1">
                  <c:v>0.23215676784535746</c:v>
                </c:pt>
                <c:pt idx="2" formatCode="General">
                  <c:v>7.0000000000000007E-2</c:v>
                </c:pt>
                <c:pt idx="3" formatCode="General">
                  <c:v>7.0000000000000007E-2</c:v>
                </c:pt>
                <c:pt idx="4" formatCode="General">
                  <c:v>0.09</c:v>
                </c:pt>
                <c:pt idx="5" formatCode="General">
                  <c:v>0.09</c:v>
                </c:pt>
                <c:pt idx="6" formatCode="General">
                  <c:v>0.12</c:v>
                </c:pt>
                <c:pt idx="7" formatCode="General">
                  <c:v>0.14000000000000001</c:v>
                </c:pt>
                <c:pt idx="8" formatCode="General">
                  <c:v>0.11</c:v>
                </c:pt>
                <c:pt idx="9" formatCode="General">
                  <c:v>0.1</c:v>
                </c:pt>
                <c:pt idx="10" formatCode="General">
                  <c:v>0.14000000000000001</c:v>
                </c:pt>
                <c:pt idx="11" formatCode="General">
                  <c:v>0.34</c:v>
                </c:pt>
                <c:pt idx="12" formatCode="General">
                  <c:v>0.13</c:v>
                </c:pt>
              </c:numCache>
            </c:numRef>
          </c:val>
        </c:ser>
        <c:ser>
          <c:idx val="1"/>
          <c:order val="1"/>
          <c:tx>
            <c:strRef>
              <c:f>'Приложение №3'!$A$6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№3'!$B$6:$N$6</c:f>
              <c:numCache>
                <c:formatCode>0.000</c:formatCode>
                <c:ptCount val="13"/>
                <c:pt idx="0">
                  <c:v>53.709035070182743</c:v>
                </c:pt>
                <c:pt idx="1">
                  <c:v>53.791341196848904</c:v>
                </c:pt>
                <c:pt idx="2" formatCode="General">
                  <c:v>53.44</c:v>
                </c:pt>
                <c:pt idx="3" formatCode="General">
                  <c:v>57.17</c:v>
                </c:pt>
                <c:pt idx="4" formatCode="General">
                  <c:v>58.99</c:v>
                </c:pt>
                <c:pt idx="5" formatCode="General">
                  <c:v>63.13</c:v>
                </c:pt>
                <c:pt idx="6" formatCode="General">
                  <c:v>59.2</c:v>
                </c:pt>
                <c:pt idx="7" formatCode="General">
                  <c:v>50.98</c:v>
                </c:pt>
                <c:pt idx="8" formatCode="General">
                  <c:v>68.98</c:v>
                </c:pt>
                <c:pt idx="9" formatCode="General">
                  <c:v>58.86</c:v>
                </c:pt>
                <c:pt idx="10" formatCode="General">
                  <c:v>60.9</c:v>
                </c:pt>
                <c:pt idx="11" formatCode="General">
                  <c:v>58.36</c:v>
                </c:pt>
                <c:pt idx="12" formatCode="General">
                  <c:v>59.49</c:v>
                </c:pt>
              </c:numCache>
            </c:numRef>
          </c:val>
        </c:ser>
        <c:ser>
          <c:idx val="2"/>
          <c:order val="2"/>
          <c:tx>
            <c:strRef>
              <c:f>'Приложение №3'!$A$7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№3'!$B$7:$N$7</c:f>
              <c:numCache>
                <c:formatCode>0.000</c:formatCode>
                <c:ptCount val="13"/>
                <c:pt idx="0">
                  <c:v>6.2250055441200267</c:v>
                </c:pt>
                <c:pt idx="1">
                  <c:v>6.0526723153556556</c:v>
                </c:pt>
                <c:pt idx="2" formatCode="General">
                  <c:v>3.38</c:v>
                </c:pt>
                <c:pt idx="3" formatCode="General">
                  <c:v>3.22</c:v>
                </c:pt>
                <c:pt idx="4" formatCode="General">
                  <c:v>4.2300000000000004</c:v>
                </c:pt>
                <c:pt idx="5" formatCode="General">
                  <c:v>2.62</c:v>
                </c:pt>
                <c:pt idx="6" formatCode="General">
                  <c:v>5.82</c:v>
                </c:pt>
                <c:pt idx="7" formatCode="General">
                  <c:v>3.48</c:v>
                </c:pt>
                <c:pt idx="8" formatCode="General">
                  <c:v>6.31</c:v>
                </c:pt>
                <c:pt idx="9" formatCode="General">
                  <c:v>5.72</c:v>
                </c:pt>
                <c:pt idx="10" formatCode="General">
                  <c:v>6.24</c:v>
                </c:pt>
                <c:pt idx="11" formatCode="General">
                  <c:v>3.29</c:v>
                </c:pt>
                <c:pt idx="12" formatCode="General">
                  <c:v>3.9</c:v>
                </c:pt>
              </c:numCache>
            </c:numRef>
          </c:val>
        </c:ser>
        <c:ser>
          <c:idx val="3"/>
          <c:order val="3"/>
          <c:tx>
            <c:strRef>
              <c:f>'Приложение №3'!$A$8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№3'!$B$8:$N$8</c:f>
              <c:numCache>
                <c:formatCode>0.000</c:formatCode>
                <c:ptCount val="13"/>
                <c:pt idx="0">
                  <c:v>38.224735887073116</c:v>
                </c:pt>
                <c:pt idx="1">
                  <c:v>36.028584096424382</c:v>
                </c:pt>
                <c:pt idx="2" formatCode="General">
                  <c:v>40.380000000000003</c:v>
                </c:pt>
                <c:pt idx="3" formatCode="General">
                  <c:v>36.79</c:v>
                </c:pt>
                <c:pt idx="4" formatCode="General">
                  <c:v>35.020000000000003</c:v>
                </c:pt>
                <c:pt idx="5" formatCode="General">
                  <c:v>29.93</c:v>
                </c:pt>
                <c:pt idx="6" formatCode="General">
                  <c:v>31.1</c:v>
                </c:pt>
                <c:pt idx="7" formatCode="General">
                  <c:v>42.24</c:v>
                </c:pt>
                <c:pt idx="8" formatCode="General">
                  <c:v>19.329999999999998</c:v>
                </c:pt>
                <c:pt idx="9" formatCode="General">
                  <c:v>28.61</c:v>
                </c:pt>
                <c:pt idx="10" formatCode="General">
                  <c:v>29.18</c:v>
                </c:pt>
                <c:pt idx="11" formatCode="General">
                  <c:v>35.229999999999997</c:v>
                </c:pt>
                <c:pt idx="12" formatCode="General">
                  <c:v>33.21</c:v>
                </c:pt>
              </c:numCache>
            </c:numRef>
          </c:val>
        </c:ser>
        <c:ser>
          <c:idx val="4"/>
          <c:order val="4"/>
          <c:tx>
            <c:strRef>
              <c:f>'Приложение №3'!$A$9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№3'!$B$9:$N$9</c:f>
              <c:numCache>
                <c:formatCode>0.000</c:formatCode>
                <c:ptCount val="13"/>
                <c:pt idx="0">
                  <c:v>1.7912494933808656</c:v>
                </c:pt>
                <c:pt idx="1">
                  <c:v>3.8952456235256929</c:v>
                </c:pt>
                <c:pt idx="2" formatCode="General">
                  <c:v>2.73</c:v>
                </c:pt>
                <c:pt idx="3" formatCode="General">
                  <c:v>2.75</c:v>
                </c:pt>
                <c:pt idx="4" formatCode="General">
                  <c:v>1.67</c:v>
                </c:pt>
                <c:pt idx="5" formatCode="General">
                  <c:v>4.2300000000000004</c:v>
                </c:pt>
                <c:pt idx="6" formatCode="General">
                  <c:v>3.76</c:v>
                </c:pt>
                <c:pt idx="7" formatCode="General">
                  <c:v>3.16</c:v>
                </c:pt>
                <c:pt idx="8" formatCode="General">
                  <c:v>5.27</c:v>
                </c:pt>
                <c:pt idx="9" formatCode="General">
                  <c:v>6.71</c:v>
                </c:pt>
                <c:pt idx="10" formatCode="General">
                  <c:v>3.54</c:v>
                </c:pt>
                <c:pt idx="11" formatCode="General">
                  <c:v>2.78</c:v>
                </c:pt>
                <c:pt idx="12" formatCode="General">
                  <c:v>3.27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8439184"/>
        <c:axId val="188439576"/>
      </c:barChart>
      <c:dateAx>
        <c:axId val="18843918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88439576"/>
        <c:crosses val="autoZero"/>
        <c:auto val="1"/>
        <c:lblOffset val="100"/>
        <c:baseTimeUnit val="months"/>
      </c:dateAx>
      <c:valAx>
        <c:axId val="18843957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88439184"/>
        <c:crosses val="autoZero"/>
        <c:crossBetween val="between"/>
      </c:valAx>
      <c:spPr>
        <a:scene3d>
          <a:camera prst="orthographicFront"/>
          <a:lightRig rig="threePt" dir="t"/>
        </a:scene3d>
        <a:sp3d prstMaterial="matte"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 объема потребления электрической энергии населением Астраханской области декабрь</a:t>
            </a:r>
            <a:r>
              <a:rPr lang="ru-RU" baseline="0"/>
              <a:t> 2014 года, январь-июнь 2015 года  (тыс. кВтч.)</a:t>
            </a:r>
            <a:endParaRPr lang="ru-RU"/>
          </a:p>
        </c:rich>
      </c:tx>
      <c:layout>
        <c:manualLayout>
          <c:xMode val="edge"/>
          <c:yMode val="edge"/>
          <c:x val="0.14922947131608549"/>
          <c:y val="1.36054421768707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462976417224655E-2"/>
          <c:y val="0.14775235222059971"/>
          <c:w val="0.54196595126357672"/>
          <c:h val="0.82011872067195857"/>
        </c:manualLayout>
      </c:layout>
      <c:lineChart>
        <c:grouping val="standard"/>
        <c:varyColors val="0"/>
        <c:ser>
          <c:idx val="0"/>
          <c:order val="0"/>
          <c:tx>
            <c:strRef>
              <c:f>Прил№4июнь!$A$4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spPr>
            <a:ln>
              <a:prstDash val="dashDot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Прил№4июнь!$B$4:$H$4</c:f>
              <c:numCache>
                <c:formatCode>#\ ##0.0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Прил№4июнь!$A$6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spPr>
            <a:ln>
              <a:solidFill>
                <a:srgbClr val="9BBB59">
                  <a:shade val="76000"/>
                  <a:shade val="95000"/>
                  <a:satMod val="105000"/>
                </a:srgbClr>
              </a:solidFill>
              <a:prstDash val="sysDot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Прил№4июнь!$B$6:$H$6</c:f>
              <c:numCache>
                <c:formatCode>#\ ##0.0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Прил№4июнь!$A$5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spPr>
            <a:ln>
              <a:prstDash val="lgDash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Прил№4июнь!$B$5:$H$5</c:f>
              <c:numCache>
                <c:formatCode>#\ ##0.0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Прил№4июнь!$A$7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spPr>
            <a:ln>
              <a:solidFill>
                <a:srgbClr val="9BBB59">
                  <a:shade val="76000"/>
                  <a:shade val="95000"/>
                  <a:satMod val="105000"/>
                </a:srgbClr>
              </a:solidFill>
              <a:prstDash val="lgDashDotDot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Прил№4июнь!$B$7:$H$7</c:f>
              <c:numCache>
                <c:formatCode>#\ ##0.0</c:formatCode>
                <c:ptCount val="7"/>
                <c:pt idx="0" formatCode="#,##0.0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Прил№4июнь!$A$8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Прил№4июнь!$B$8:$H$8</c:f>
              <c:numCache>
                <c:formatCode>#\ ##0.0</c:formatCode>
                <c:ptCount val="7"/>
                <c:pt idx="0" formatCode="#\ ##0.00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8437616"/>
        <c:axId val="188440360"/>
      </c:lineChart>
      <c:dateAx>
        <c:axId val="18843761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88440360"/>
        <c:crosses val="autoZero"/>
        <c:auto val="1"/>
        <c:lblOffset val="100"/>
        <c:baseTimeUnit val="months"/>
      </c:dateAx>
      <c:valAx>
        <c:axId val="188440360"/>
        <c:scaling>
          <c:orientation val="minMax"/>
          <c:max val="60000"/>
          <c:min val="0"/>
        </c:scaling>
        <c:delete val="0"/>
        <c:axPos val="l"/>
        <c:majorGridlines/>
        <c:numFmt formatCode="#\ ##0.0" sourceLinked="1"/>
        <c:majorTickMark val="none"/>
        <c:minorTickMark val="in"/>
        <c:tickLblPos val="nextTo"/>
        <c:crossAx val="188437616"/>
        <c:crosses val="autoZero"/>
        <c:crossBetween val="between"/>
        <c:majorUnit val="10000"/>
        <c:minorUnit val="100"/>
      </c:valAx>
    </c:plotArea>
    <c:legend>
      <c:legendPos val="r"/>
      <c:layout>
        <c:manualLayout>
          <c:xMode val="edge"/>
          <c:yMode val="edge"/>
          <c:x val="0.65864833906072073"/>
          <c:y val="0.13370700157807391"/>
          <c:w val="0.32173291810026688"/>
          <c:h val="0.41143371038011112"/>
        </c:manualLayout>
      </c:layout>
      <c:overlay val="0"/>
      <c:txPr>
        <a:bodyPr/>
        <a:lstStyle/>
        <a:p>
          <a:pPr>
            <a:defRPr sz="1050" b="1" baseline="0"/>
          </a:pPr>
          <a:endParaRPr lang="ru-RU"/>
        </a:p>
      </c:txPr>
    </c:legend>
    <c:plotVisOnly val="1"/>
    <c:dispBlanksAs val="zero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000000000000711" l="0.70000000000000062" r="0.70000000000000062" t="0.75000000000000711" header="0.30000000000000032" footer="0.30000000000000032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 объема потребления электрической энергии населением Астраханской области декабрь</a:t>
            </a:r>
            <a:r>
              <a:rPr lang="ru-RU" baseline="0"/>
              <a:t> 2014 года, январь-июнь 2015 года  (тыс. кВтч.)</a:t>
            </a:r>
            <a:endParaRPr lang="ru-RU"/>
          </a:p>
        </c:rich>
      </c:tx>
      <c:layout>
        <c:manualLayout>
          <c:xMode val="edge"/>
          <c:yMode val="edge"/>
          <c:x val="0.14922947131608549"/>
          <c:y val="1.36054421768707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462976417224655E-2"/>
          <c:y val="0.14775235222059971"/>
          <c:w val="0.54196595126357694"/>
          <c:h val="0.82011872067195857"/>
        </c:manualLayout>
      </c:layout>
      <c:lineChart>
        <c:grouping val="standard"/>
        <c:varyColors val="0"/>
        <c:ser>
          <c:idx val="0"/>
          <c:order val="0"/>
          <c:tx>
            <c:strRef>
              <c:f>Прил№4июнь!$A$4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spPr>
            <a:ln>
              <a:prstDash val="dashDot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Прил№4июнь!$B$4:$H$4</c:f>
              <c:numCache>
                <c:formatCode>#\ ##0.0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Прил№4июнь!$A$6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spPr>
            <a:ln>
              <a:solidFill>
                <a:srgbClr val="9BBB59">
                  <a:shade val="76000"/>
                  <a:shade val="95000"/>
                  <a:satMod val="105000"/>
                </a:srgbClr>
              </a:solidFill>
              <a:prstDash val="sysDot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Прил№4июнь!$B$6:$H$6</c:f>
              <c:numCache>
                <c:formatCode>#\ ##0.0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Прил№4июнь!$A$5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spPr>
            <a:ln>
              <a:prstDash val="lgDash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Прил№4июнь!$B$5:$H$5</c:f>
              <c:numCache>
                <c:formatCode>#\ ##0.0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Прил№4июнь!$A$7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spPr>
            <a:ln>
              <a:solidFill>
                <a:srgbClr val="9BBB59">
                  <a:shade val="76000"/>
                  <a:shade val="95000"/>
                  <a:satMod val="105000"/>
                </a:srgbClr>
              </a:solidFill>
              <a:prstDash val="lgDashDotDot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Прил№4июнь!$B$7:$H$7</c:f>
              <c:numCache>
                <c:formatCode>#\ ##0.0</c:formatCode>
                <c:ptCount val="7"/>
                <c:pt idx="0" formatCode="#,##0.0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Прил№4июнь!$A$8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Прил№4июнь!$B$8:$H$8</c:f>
              <c:numCache>
                <c:formatCode>#\ ##0.0</c:formatCode>
                <c:ptCount val="7"/>
                <c:pt idx="0" formatCode="#\ ##0.00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8441144"/>
        <c:axId val="185882720"/>
      </c:lineChart>
      <c:dateAx>
        <c:axId val="18844114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85882720"/>
        <c:crosses val="autoZero"/>
        <c:auto val="1"/>
        <c:lblOffset val="100"/>
        <c:baseTimeUnit val="months"/>
      </c:dateAx>
      <c:valAx>
        <c:axId val="185882720"/>
        <c:scaling>
          <c:orientation val="minMax"/>
          <c:max val="60000"/>
          <c:min val="0"/>
        </c:scaling>
        <c:delete val="0"/>
        <c:axPos val="l"/>
        <c:majorGridlines/>
        <c:numFmt formatCode="#\ ##0.0" sourceLinked="1"/>
        <c:majorTickMark val="none"/>
        <c:minorTickMark val="in"/>
        <c:tickLblPos val="nextTo"/>
        <c:crossAx val="188441144"/>
        <c:crosses val="autoZero"/>
        <c:crossBetween val="between"/>
        <c:majorUnit val="10000"/>
        <c:minorUnit val="100"/>
      </c:valAx>
    </c:plotArea>
    <c:legend>
      <c:legendPos val="r"/>
      <c:layout>
        <c:manualLayout>
          <c:xMode val="edge"/>
          <c:yMode val="edge"/>
          <c:x val="0.65864833906072096"/>
          <c:y val="0.13370700157807391"/>
          <c:w val="0.32173291810026688"/>
          <c:h val="0.41143371038011112"/>
        </c:manualLayout>
      </c:layout>
      <c:overlay val="0"/>
      <c:txPr>
        <a:bodyPr/>
        <a:lstStyle/>
        <a:p>
          <a:pPr>
            <a:defRPr sz="1050" b="1" baseline="0"/>
          </a:pPr>
          <a:endParaRPr lang="ru-RU"/>
        </a:p>
      </c:txPr>
    </c:legend>
    <c:plotVisOnly val="1"/>
    <c:dispBlanksAs val="zero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000000000000733" l="0.70000000000000062" r="0.70000000000000062" t="0.75000000000000733" header="0.30000000000000032" footer="0.30000000000000032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 изменения  объёмов потребления электрической энергии населением Астраханской области по месяцам (декабрь 2016 года,  2017 год) по группам населения</a:t>
            </a:r>
          </a:p>
          <a:p>
            <a:pPr>
              <a:defRPr/>
            </a:pPr>
            <a:endParaRPr lang="ru-RU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832866891117992E-2"/>
          <c:y val="0.1921330523365827"/>
          <c:w val="0.58062760896800292"/>
          <c:h val="0.75191684615849963"/>
        </c:manualLayout>
      </c:layout>
      <c:lineChart>
        <c:grouping val="standard"/>
        <c:varyColors val="0"/>
        <c:ser>
          <c:idx val="0"/>
          <c:order val="0"/>
          <c:tx>
            <c:strRef>
              <c:f>'Приложение №4'!$A$5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marker>
            <c:symbol val="none"/>
          </c:marker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№4'!$B$5:$N$5</c:f>
              <c:numCache>
                <c:formatCode>_-* #\ ##0.00_р_._-;\-* #\ ##0.00_р_._-;_-* "-"??_р_._-;_-@_-</c:formatCode>
                <c:ptCount val="13"/>
                <c:pt idx="0">
                  <c:v>91.175000000000011</c:v>
                </c:pt>
                <c:pt idx="1">
                  <c:v>159.482</c:v>
                </c:pt>
                <c:pt idx="2">
                  <c:v>57.75</c:v>
                </c:pt>
                <c:pt idx="3">
                  <c:v>50.55</c:v>
                </c:pt>
                <c:pt idx="4">
                  <c:v>61.59</c:v>
                </c:pt>
                <c:pt idx="5">
                  <c:v>56.07</c:v>
                </c:pt>
                <c:pt idx="6">
                  <c:v>80.233999999999995</c:v>
                </c:pt>
                <c:pt idx="7">
                  <c:v>130.94</c:v>
                </c:pt>
                <c:pt idx="8">
                  <c:v>86.39</c:v>
                </c:pt>
                <c:pt idx="9">
                  <c:v>84.06</c:v>
                </c:pt>
                <c:pt idx="10">
                  <c:v>108.06</c:v>
                </c:pt>
                <c:pt idx="11">
                  <c:v>255.8</c:v>
                </c:pt>
                <c:pt idx="12">
                  <c:v>103.12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'Приложение №4'!$A$6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marker>
            <c:symbol val="none"/>
          </c:marker>
          <c:dPt>
            <c:idx val="4"/>
            <c:bubble3D val="0"/>
            <c:spPr>
              <a:ln>
                <a:prstDash val="solid"/>
              </a:ln>
            </c:spPr>
          </c:dPt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№4'!$B$6:$N$6</c:f>
              <c:numCache>
                <c:formatCode>_-* #\ ##0.00_р_._-;\-* #\ ##0.00_р_._-;_-* "-"??_р_._-;_-@_-</c:formatCode>
                <c:ptCount val="13"/>
                <c:pt idx="0">
                  <c:v>43026.406999999999</c:v>
                </c:pt>
                <c:pt idx="1">
                  <c:v>36952.403999999995</c:v>
                </c:pt>
                <c:pt idx="2">
                  <c:v>43883.72</c:v>
                </c:pt>
                <c:pt idx="3">
                  <c:v>40913.56</c:v>
                </c:pt>
                <c:pt idx="4">
                  <c:v>41925.629999999997</c:v>
                </c:pt>
                <c:pt idx="5">
                  <c:v>39789.339999999997</c:v>
                </c:pt>
                <c:pt idx="6">
                  <c:v>40411.050000000003</c:v>
                </c:pt>
                <c:pt idx="7">
                  <c:v>46848.9</c:v>
                </c:pt>
                <c:pt idx="8">
                  <c:v>55917.14</c:v>
                </c:pt>
                <c:pt idx="9">
                  <c:v>47843.16</c:v>
                </c:pt>
                <c:pt idx="10">
                  <c:v>46621.78</c:v>
                </c:pt>
                <c:pt idx="11">
                  <c:v>43999.62</c:v>
                </c:pt>
                <c:pt idx="12">
                  <c:v>43191.74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'Приложение №4'!$A$7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marker>
            <c:symbol val="none"/>
          </c:marker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№4'!$B$7:$N$7</c:f>
              <c:numCache>
                <c:formatCode>_-* #\ ##0.00_р_._-;\-* #\ ##0.00_р_._-;_-* "-"??_р_._-;_-@_-</c:formatCode>
                <c:ptCount val="13"/>
                <c:pt idx="0">
                  <c:v>2594.0149999999999</c:v>
                </c:pt>
                <c:pt idx="1">
                  <c:v>4157.933</c:v>
                </c:pt>
                <c:pt idx="2">
                  <c:v>2774.39</c:v>
                </c:pt>
                <c:pt idx="3">
                  <c:v>2306.48</c:v>
                </c:pt>
                <c:pt idx="4">
                  <c:v>3010.23</c:v>
                </c:pt>
                <c:pt idx="5">
                  <c:v>1653.27</c:v>
                </c:pt>
                <c:pt idx="6">
                  <c:v>3966.556</c:v>
                </c:pt>
                <c:pt idx="7">
                  <c:v>3198.14</c:v>
                </c:pt>
                <c:pt idx="8">
                  <c:v>5116.8500000000004</c:v>
                </c:pt>
                <c:pt idx="9">
                  <c:v>4651.3999999999996</c:v>
                </c:pt>
                <c:pt idx="10">
                  <c:v>4778.01</c:v>
                </c:pt>
                <c:pt idx="11">
                  <c:v>2479.71</c:v>
                </c:pt>
                <c:pt idx="12">
                  <c:v>3224.13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'Приложение №4'!$A$8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marker>
            <c:symbol val="none"/>
          </c:marker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№4'!$B$8:$N$8</c:f>
              <c:numCache>
                <c:formatCode>_-* #\ ##0.00_р_._-;\-* #\ ##0.00_р_._-;_-* "-"??_р_._-;_-@_-</c:formatCode>
                <c:ptCount val="13"/>
                <c:pt idx="0">
                  <c:v>30358.713</c:v>
                </c:pt>
                <c:pt idx="1">
                  <c:v>24750.132000000001</c:v>
                </c:pt>
                <c:pt idx="2">
                  <c:v>33154.97</c:v>
                </c:pt>
                <c:pt idx="3">
                  <c:v>26336.52</c:v>
                </c:pt>
                <c:pt idx="4">
                  <c:v>24885.64</c:v>
                </c:pt>
                <c:pt idx="5">
                  <c:v>18862.34</c:v>
                </c:pt>
                <c:pt idx="6">
                  <c:v>21188.504000000001</c:v>
                </c:pt>
                <c:pt idx="7">
                  <c:v>38812.480000000003</c:v>
                </c:pt>
                <c:pt idx="8">
                  <c:v>15669.11</c:v>
                </c:pt>
                <c:pt idx="9">
                  <c:v>23252.91</c:v>
                </c:pt>
                <c:pt idx="10">
                  <c:v>22342.45</c:v>
                </c:pt>
                <c:pt idx="11">
                  <c:v>26560.36</c:v>
                </c:pt>
                <c:pt idx="12">
                  <c:v>27460.36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'Приложение №4'!$A$9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marker>
            <c:symbol val="none"/>
          </c:marker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№4'!$B$9:$N$9</c:f>
              <c:numCache>
                <c:formatCode>_-* #\ ##0.00_р_._-;\-* #\ ##0.00_р_._-;_-* "-"??_р_._-;_-@_-</c:formatCode>
                <c:ptCount val="13"/>
                <c:pt idx="0">
                  <c:v>3445.7099999999996</c:v>
                </c:pt>
                <c:pt idx="1">
                  <c:v>2675.8710000000001</c:v>
                </c:pt>
                <c:pt idx="2">
                  <c:v>2243.54</c:v>
                </c:pt>
                <c:pt idx="3">
                  <c:v>1697.63</c:v>
                </c:pt>
                <c:pt idx="4">
                  <c:v>1185.3800000000001</c:v>
                </c:pt>
                <c:pt idx="5">
                  <c:v>2666.23</c:v>
                </c:pt>
                <c:pt idx="6">
                  <c:v>2559.2739999999999</c:v>
                </c:pt>
                <c:pt idx="7">
                  <c:v>2889.47</c:v>
                </c:pt>
                <c:pt idx="8">
                  <c:v>4275.18</c:v>
                </c:pt>
                <c:pt idx="9">
                  <c:v>5452.34</c:v>
                </c:pt>
                <c:pt idx="10">
                  <c:v>2707.18</c:v>
                </c:pt>
                <c:pt idx="11">
                  <c:v>2094.67</c:v>
                </c:pt>
                <c:pt idx="12">
                  <c:v>2707.75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3203344"/>
        <c:axId val="93209616"/>
      </c:lineChart>
      <c:dateAx>
        <c:axId val="9320334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93209616"/>
        <c:crosses val="autoZero"/>
        <c:auto val="1"/>
        <c:lblOffset val="100"/>
        <c:baseTimeUnit val="months"/>
      </c:dateAx>
      <c:valAx>
        <c:axId val="93209616"/>
        <c:scaling>
          <c:orientation val="minMax"/>
        </c:scaling>
        <c:delete val="0"/>
        <c:axPos val="l"/>
        <c:majorGridlines/>
        <c:numFmt formatCode="_-* #\ ##0.00_р_._-;\-* #\ ##0.00_р_._-;_-* &quot;-&quot;??_р_._-;_-@_-" sourceLinked="1"/>
        <c:majorTickMark val="out"/>
        <c:minorTickMark val="none"/>
        <c:tickLblPos val="nextTo"/>
        <c:crossAx val="93203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476250</xdr:rowOff>
    </xdr:from>
    <xdr:to>
      <xdr:col>5</xdr:col>
      <xdr:colOff>733426</xdr:colOff>
      <xdr:row>46</xdr:row>
      <xdr:rowOff>190499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571498</xdr:colOff>
      <xdr:row>2</xdr:row>
      <xdr:rowOff>80961</xdr:rowOff>
    </xdr:from>
    <xdr:to>
      <xdr:col>19</xdr:col>
      <xdr:colOff>209549</xdr:colOff>
      <xdr:row>14</xdr:row>
      <xdr:rowOff>209551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14</xdr:row>
      <xdr:rowOff>538161</xdr:rowOff>
    </xdr:from>
    <xdr:to>
      <xdr:col>19</xdr:col>
      <xdr:colOff>285751</xdr:colOff>
      <xdr:row>51</xdr:row>
      <xdr:rowOff>171450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</xdr:row>
      <xdr:rowOff>14287</xdr:rowOff>
    </xdr:from>
    <xdr:to>
      <xdr:col>17</xdr:col>
      <xdr:colOff>598714</xdr:colOff>
      <xdr:row>15</xdr:row>
      <xdr:rowOff>157843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16</xdr:row>
      <xdr:rowOff>14286</xdr:rowOff>
    </xdr:from>
    <xdr:to>
      <xdr:col>17</xdr:col>
      <xdr:colOff>571500</xdr:colOff>
      <xdr:row>39</xdr:row>
      <xdr:rowOff>152399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18</xdr:col>
      <xdr:colOff>419100</xdr:colOff>
      <xdr:row>27</xdr:row>
      <xdr:rowOff>133350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18</xdr:col>
      <xdr:colOff>419100</xdr:colOff>
      <xdr:row>27</xdr:row>
      <xdr:rowOff>133350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21</xdr:col>
      <xdr:colOff>504826</xdr:colOff>
      <xdr:row>30</xdr:row>
      <xdr:rowOff>161924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12</xdr:col>
      <xdr:colOff>176211</xdr:colOff>
      <xdr:row>32</xdr:row>
      <xdr:rowOff>128587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12</xdr:col>
      <xdr:colOff>169071</xdr:colOff>
      <xdr:row>23</xdr:row>
      <xdr:rowOff>14288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14</xdr:col>
      <xdr:colOff>266701</xdr:colOff>
      <xdr:row>36</xdr:row>
      <xdr:rowOff>147640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14</xdr:col>
      <xdr:colOff>295276</xdr:colOff>
      <xdr:row>38</xdr:row>
      <xdr:rowOff>185739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579664</xdr:colOff>
      <xdr:row>32</xdr:row>
      <xdr:rowOff>105456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285751</xdr:colOff>
      <xdr:row>4</xdr:row>
      <xdr:rowOff>129383</xdr:rowOff>
    </xdr:from>
    <xdr:to>
      <xdr:col>16</xdr:col>
      <xdr:colOff>539751</xdr:colOff>
      <xdr:row>15</xdr:row>
      <xdr:rowOff>105835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568323</xdr:colOff>
      <xdr:row>17</xdr:row>
      <xdr:rowOff>135201</xdr:rowOff>
    </xdr:from>
    <xdr:to>
      <xdr:col>14</xdr:col>
      <xdr:colOff>603515</xdr:colOff>
      <xdr:row>39</xdr:row>
      <xdr:rowOff>149489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571500</xdr:colOff>
      <xdr:row>24</xdr:row>
      <xdr:rowOff>138113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54768</xdr:colOff>
      <xdr:row>16</xdr:row>
      <xdr:rowOff>107156</xdr:rowOff>
    </xdr:from>
    <xdr:to>
      <xdr:col>11</xdr:col>
      <xdr:colOff>535780</xdr:colOff>
      <xdr:row>43</xdr:row>
      <xdr:rowOff>100014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400049</xdr:colOff>
      <xdr:row>17</xdr:row>
      <xdr:rowOff>123826</xdr:rowOff>
    </xdr:from>
    <xdr:to>
      <xdr:col>7</xdr:col>
      <xdr:colOff>0</xdr:colOff>
      <xdr:row>47</xdr:row>
      <xdr:rowOff>95250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16</xdr:row>
      <xdr:rowOff>133351</xdr:rowOff>
    </xdr:from>
    <xdr:to>
      <xdr:col>14</xdr:col>
      <xdr:colOff>57150</xdr:colOff>
      <xdr:row>43</xdr:row>
      <xdr:rowOff>76201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12</xdr:row>
      <xdr:rowOff>123825</xdr:rowOff>
    </xdr:from>
    <xdr:to>
      <xdr:col>6</xdr:col>
      <xdr:colOff>0</xdr:colOff>
      <xdr:row>51</xdr:row>
      <xdr:rowOff>180974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12</xdr:row>
      <xdr:rowOff>123825</xdr:rowOff>
    </xdr:from>
    <xdr:to>
      <xdr:col>6</xdr:col>
      <xdr:colOff>0</xdr:colOff>
      <xdr:row>51</xdr:row>
      <xdr:rowOff>180974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400049</xdr:colOff>
      <xdr:row>17</xdr:row>
      <xdr:rowOff>123826</xdr:rowOff>
    </xdr:from>
    <xdr:to>
      <xdr:col>13</xdr:col>
      <xdr:colOff>619125</xdr:colOff>
      <xdr:row>47</xdr:row>
      <xdr:rowOff>95250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571501</xdr:colOff>
      <xdr:row>2</xdr:row>
      <xdr:rowOff>2381</xdr:rowOff>
    </xdr:from>
    <xdr:to>
      <xdr:col>15</xdr:col>
      <xdr:colOff>0</xdr:colOff>
      <xdr:row>14</xdr:row>
      <xdr:rowOff>535781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600073</xdr:colOff>
      <xdr:row>16</xdr:row>
      <xdr:rowOff>92868</xdr:rowOff>
    </xdr:from>
    <xdr:to>
      <xdr:col>15</xdr:col>
      <xdr:colOff>21432</xdr:colOff>
      <xdr:row>38</xdr:row>
      <xdr:rowOff>107156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Ukhanova\Downloads\46EE.ST(v1.0)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Раздел I. А"/>
      <sheetName val="Раздел I. Б"/>
      <sheetName val="Раздел I. В"/>
      <sheetName val="Раздел II. А"/>
      <sheetName val="Раздел II. Б"/>
      <sheetName val="Раздел III"/>
      <sheetName val="Раздел IV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_12"/>
      <sheetName val="mod_13"/>
      <sheetName val="mod_21"/>
      <sheetName val="mod_22"/>
      <sheetName val="mod_31"/>
      <sheetName val="mod_41"/>
      <sheetName val="modComm"/>
      <sheetName val="modButton"/>
      <sheetName val="REESTR_ORG"/>
      <sheetName val="modfrmCheckUpdates"/>
      <sheetName val="REESTR_MO"/>
      <sheetName val="modfrmReestr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>
        <row r="3">
          <cell r="B3" t="str">
            <v>Версия 1.0</v>
          </cell>
        </row>
      </sheetData>
      <sheetData sheetId="1"/>
      <sheetData sheetId="2">
        <row r="16">
          <cell r="G16" t="str">
            <v>ОАО "Астраханская энергосбытовая компания"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E2" t="str">
            <v>январь</v>
          </cell>
          <cell r="F2">
            <v>2013</v>
          </cell>
          <cell r="G2" t="str">
            <v>Да</v>
          </cell>
          <cell r="H2" t="str">
            <v>с ОРЭМ</v>
          </cell>
        </row>
        <row r="3">
          <cell r="E3" t="str">
            <v>февраль</v>
          </cell>
          <cell r="F3">
            <v>2014</v>
          </cell>
          <cell r="G3" t="str">
            <v>Нет</v>
          </cell>
          <cell r="H3" t="str">
            <v xml:space="preserve">от ГП первого уровня </v>
          </cell>
        </row>
        <row r="4">
          <cell r="E4" t="str">
            <v>март</v>
          </cell>
          <cell r="F4">
            <v>2015</v>
          </cell>
          <cell r="H4" t="str">
            <v>с ОРЭМ и от ГП первого уровня</v>
          </cell>
        </row>
        <row r="5">
          <cell r="E5" t="str">
            <v>апрель</v>
          </cell>
          <cell r="F5">
            <v>2016</v>
          </cell>
        </row>
        <row r="6">
          <cell r="E6" t="str">
            <v>май</v>
          </cell>
        </row>
        <row r="7">
          <cell r="E7" t="str">
            <v>июнь</v>
          </cell>
        </row>
        <row r="8">
          <cell r="E8" t="str">
            <v>июль</v>
          </cell>
        </row>
        <row r="9">
          <cell r="E9" t="str">
            <v>август</v>
          </cell>
        </row>
        <row r="10">
          <cell r="E10" t="str">
            <v>сентябрь</v>
          </cell>
        </row>
        <row r="11">
          <cell r="E11" t="str">
            <v>октябрь</v>
          </cell>
        </row>
        <row r="12">
          <cell r="E12" t="str">
            <v>ноябрь</v>
          </cell>
        </row>
        <row r="13">
          <cell r="E13" t="str">
            <v>декабрь</v>
          </cell>
        </row>
        <row r="14">
          <cell r="E14" t="str">
            <v>год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D2" t="str">
            <v>Ахтубинский муниципальный район</v>
          </cell>
        </row>
        <row r="3">
          <cell r="D3" t="str">
            <v>Володарский муниципальный район</v>
          </cell>
        </row>
        <row r="4">
          <cell r="D4" t="str">
            <v>Город Астрахань</v>
          </cell>
        </row>
        <row r="5">
          <cell r="D5" t="str">
            <v>Енотаевский муниципальный район</v>
          </cell>
        </row>
        <row r="6">
          <cell r="D6" t="str">
            <v>ЗАТО Знаменск Астраханской области</v>
          </cell>
        </row>
        <row r="7">
          <cell r="D7" t="str">
            <v>Икрянинский муниципальный район</v>
          </cell>
        </row>
        <row r="8">
          <cell r="D8" t="str">
            <v>Камызякский муниципальный район</v>
          </cell>
        </row>
        <row r="9">
          <cell r="D9" t="str">
            <v>Красноярский муниципальный район</v>
          </cell>
        </row>
        <row r="10">
          <cell r="D10" t="str">
            <v>Лиманский муниципальный район</v>
          </cell>
        </row>
        <row r="11">
          <cell r="D11" t="str">
            <v>Наримановский муниципальный район</v>
          </cell>
        </row>
        <row r="12">
          <cell r="D12" t="str">
            <v>Приволжский муниципальный район</v>
          </cell>
        </row>
        <row r="13">
          <cell r="D13" t="str">
            <v>Харабалинский муниципальный район</v>
          </cell>
        </row>
        <row r="14">
          <cell r="D14" t="str">
            <v>Черноярский муниципальный район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topLeftCell="B1" workbookViewId="0">
      <selection sqref="A1:XFD1048576"/>
    </sheetView>
  </sheetViews>
  <sheetFormatPr defaultRowHeight="15"/>
  <cols>
    <col min="1" max="1" width="43.140625" customWidth="1"/>
    <col min="2" max="2" width="17.7109375" customWidth="1"/>
    <col min="3" max="3" width="19.85546875" customWidth="1"/>
    <col min="4" max="6" width="14.7109375" customWidth="1"/>
    <col min="7" max="7" width="18.85546875" customWidth="1"/>
    <col min="8" max="8" width="17" customWidth="1"/>
    <col min="9" max="10" width="14.7109375" customWidth="1"/>
    <col min="11" max="11" width="15.28515625" customWidth="1"/>
    <col min="12" max="12" width="15.5703125" customWidth="1"/>
    <col min="13" max="13" width="15.28515625" customWidth="1"/>
    <col min="14" max="14" width="14.85546875" customWidth="1"/>
  </cols>
  <sheetData>
    <row r="1" spans="1:16" ht="15.75" customHeight="1">
      <c r="A1" s="39"/>
      <c r="B1" s="39"/>
      <c r="C1" s="39"/>
      <c r="G1" s="377" t="s">
        <v>10</v>
      </c>
      <c r="H1" s="377"/>
      <c r="I1" s="377"/>
      <c r="J1" s="43"/>
      <c r="K1" s="43"/>
      <c r="L1" s="43"/>
      <c r="M1" s="375"/>
      <c r="N1" s="375"/>
    </row>
    <row r="2" spans="1:16" ht="40.5" customHeight="1">
      <c r="A2" s="378" t="s">
        <v>42</v>
      </c>
      <c r="B2" s="378"/>
      <c r="C2" s="378"/>
      <c r="D2" s="378"/>
      <c r="E2" s="378"/>
      <c r="F2" s="378"/>
      <c r="G2" s="378"/>
      <c r="H2" s="40"/>
      <c r="I2" s="40"/>
      <c r="J2" s="40"/>
      <c r="K2" s="40"/>
      <c r="L2" s="40"/>
      <c r="M2" s="40"/>
      <c r="N2" s="22"/>
    </row>
    <row r="3" spans="1:16" ht="95.25" customHeight="1">
      <c r="A3" s="41" t="s">
        <v>0</v>
      </c>
      <c r="B3" s="45">
        <v>41974</v>
      </c>
      <c r="C3" s="44">
        <v>42005</v>
      </c>
      <c r="D3" s="44">
        <v>42036</v>
      </c>
      <c r="E3" s="44">
        <v>42064</v>
      </c>
      <c r="F3" s="44">
        <v>42095</v>
      </c>
      <c r="G3" s="44">
        <v>42125</v>
      </c>
      <c r="H3" s="44">
        <v>42156</v>
      </c>
      <c r="I3" s="44">
        <v>42186</v>
      </c>
      <c r="J3" s="55"/>
      <c r="K3" s="55"/>
      <c r="L3" s="55"/>
      <c r="M3" s="55"/>
      <c r="N3" s="55"/>
      <c r="O3" s="56"/>
      <c r="P3" s="56"/>
    </row>
    <row r="4" spans="1:16" ht="31.5">
      <c r="A4" s="2" t="s">
        <v>13</v>
      </c>
      <c r="B4" s="53" t="e">
        <f>#REF!</f>
        <v>#REF!</v>
      </c>
      <c r="C4" s="23" t="e">
        <f>#REF!</f>
        <v>#REF!</v>
      </c>
      <c r="D4" s="23" t="e">
        <f>#REF!</f>
        <v>#REF!</v>
      </c>
      <c r="E4" s="23" t="e">
        <f>#REF!</f>
        <v>#REF!</v>
      </c>
      <c r="F4" s="23" t="e">
        <f>#REF!</f>
        <v>#REF!</v>
      </c>
      <c r="G4" s="23" t="e">
        <f>#REF!</f>
        <v>#REF!</v>
      </c>
      <c r="H4" s="23" t="e">
        <f>#REF!</f>
        <v>#REF!</v>
      </c>
      <c r="I4" s="23" t="e">
        <f>#REF!</f>
        <v>#REF!</v>
      </c>
      <c r="J4" s="57"/>
      <c r="K4" s="57"/>
      <c r="L4" s="58"/>
      <c r="M4" s="57"/>
      <c r="N4" s="57"/>
      <c r="O4" s="56"/>
      <c r="P4" s="56"/>
    </row>
    <row r="5" spans="1:16" ht="47.25">
      <c r="A5" s="2" t="s">
        <v>21</v>
      </c>
      <c r="B5" s="54" t="e">
        <f>#REF!</f>
        <v>#REF!</v>
      </c>
      <c r="C5" s="24" t="e">
        <f>#REF!</f>
        <v>#REF!</v>
      </c>
      <c r="D5" s="24" t="e">
        <f>#REF!</f>
        <v>#REF!</v>
      </c>
      <c r="E5" s="24" t="e">
        <f>#REF!</f>
        <v>#REF!</v>
      </c>
      <c r="F5" s="24" t="e">
        <f>#REF!</f>
        <v>#REF!</v>
      </c>
      <c r="G5" s="23" t="e">
        <f>#REF!</f>
        <v>#REF!</v>
      </c>
      <c r="H5" s="23" t="e">
        <f>#REF!</f>
        <v>#REF!</v>
      </c>
      <c r="I5" s="23" t="e">
        <f>#REF!</f>
        <v>#REF!</v>
      </c>
      <c r="J5" s="59"/>
      <c r="K5" s="59"/>
      <c r="L5" s="59"/>
      <c r="M5" s="59"/>
      <c r="N5" s="59"/>
      <c r="O5" s="56"/>
      <c r="P5" s="56"/>
    </row>
    <row r="6" spans="1:16" ht="63">
      <c r="A6" s="2" t="s">
        <v>1</v>
      </c>
      <c r="B6" s="68" t="e">
        <f>#REF!</f>
        <v>#REF!</v>
      </c>
      <c r="C6" s="24" t="e">
        <f>#REF!</f>
        <v>#REF!</v>
      </c>
      <c r="D6" s="24" t="e">
        <f>#REF!</f>
        <v>#REF!</v>
      </c>
      <c r="E6" s="24" t="e">
        <f>#REF!</f>
        <v>#REF!</v>
      </c>
      <c r="F6" s="24" t="e">
        <f>#REF!</f>
        <v>#REF!</v>
      </c>
      <c r="G6" s="23" t="e">
        <f>#REF!</f>
        <v>#REF!</v>
      </c>
      <c r="H6" s="23" t="e">
        <f>#REF!</f>
        <v>#REF!</v>
      </c>
      <c r="I6" s="23" t="e">
        <f>#REF!</f>
        <v>#REF!</v>
      </c>
      <c r="J6" s="59"/>
      <c r="K6" s="59"/>
      <c r="L6" s="59"/>
      <c r="M6" s="59"/>
      <c r="N6" s="59"/>
      <c r="O6" s="56"/>
      <c r="P6" s="56"/>
    </row>
    <row r="7" spans="1:16" ht="31.5">
      <c r="A7" s="2" t="s">
        <v>2</v>
      </c>
      <c r="B7" s="68" t="e">
        <f>#REF!</f>
        <v>#REF!</v>
      </c>
      <c r="C7" s="24" t="e">
        <f>#REF!</f>
        <v>#REF!</v>
      </c>
      <c r="D7" s="24" t="e">
        <f>#REF!</f>
        <v>#REF!</v>
      </c>
      <c r="E7" s="24" t="e">
        <f>#REF!</f>
        <v>#REF!</v>
      </c>
      <c r="F7" s="24" t="e">
        <f>#REF!</f>
        <v>#REF!</v>
      </c>
      <c r="G7" s="23" t="e">
        <f>#REF!</f>
        <v>#REF!</v>
      </c>
      <c r="H7" s="23" t="e">
        <f>#REF!</f>
        <v>#REF!</v>
      </c>
      <c r="I7" s="23" t="e">
        <f>#REF!</f>
        <v>#REF!</v>
      </c>
      <c r="J7" s="59"/>
      <c r="K7" s="59"/>
      <c r="L7" s="59"/>
      <c r="M7" s="59"/>
      <c r="N7" s="59"/>
      <c r="O7" s="56"/>
      <c r="P7" s="56"/>
    </row>
    <row r="8" spans="1:16" ht="31.5">
      <c r="A8" s="2" t="s">
        <v>20</v>
      </c>
      <c r="B8" s="68" t="e">
        <f>#REF!</f>
        <v>#REF!</v>
      </c>
      <c r="C8" s="24" t="e">
        <f>#REF!</f>
        <v>#REF!</v>
      </c>
      <c r="D8" s="24" t="e">
        <f>#REF!</f>
        <v>#REF!</v>
      </c>
      <c r="E8" s="24" t="e">
        <f>#REF!</f>
        <v>#REF!</v>
      </c>
      <c r="F8" s="24" t="e">
        <f>#REF!</f>
        <v>#REF!</v>
      </c>
      <c r="G8" s="23" t="e">
        <f>#REF!</f>
        <v>#REF!</v>
      </c>
      <c r="H8" s="23" t="e">
        <f>#REF!</f>
        <v>#REF!</v>
      </c>
      <c r="I8" s="23" t="e">
        <f>#REF!</f>
        <v>#REF!</v>
      </c>
      <c r="J8" s="59"/>
      <c r="K8" s="59"/>
      <c r="L8" s="59"/>
      <c r="M8" s="59"/>
      <c r="N8" s="59"/>
      <c r="O8" s="56"/>
      <c r="P8" s="56"/>
    </row>
    <row r="9" spans="1:16" ht="69.75" customHeight="1">
      <c r="A9" s="1" t="s">
        <v>14</v>
      </c>
      <c r="B9" s="50"/>
      <c r="C9" s="50"/>
      <c r="D9" s="50"/>
      <c r="F9" s="79"/>
      <c r="G9" s="79"/>
      <c r="I9" s="78" t="s">
        <v>15</v>
      </c>
    </row>
    <row r="10" spans="1:16" ht="55.5" customHeight="1">
      <c r="D10" s="376" t="s">
        <v>10</v>
      </c>
      <c r="E10" s="376"/>
      <c r="F10" s="376"/>
      <c r="H10" s="89"/>
    </row>
  </sheetData>
  <mergeCells count="4">
    <mergeCell ref="M1:N1"/>
    <mergeCell ref="D10:F10"/>
    <mergeCell ref="G1:I1"/>
    <mergeCell ref="A2:G2"/>
  </mergeCells>
  <pageMargins left="0.70866141732283472" right="0.70866141732283472" top="0.74803149606299213" bottom="0.74803149606299213" header="0.31496062992125984" footer="0.31496062992125984"/>
  <pageSetup paperSize="9" scale="74" orientation="landscape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17"/>
  <sheetViews>
    <sheetView view="pageBreakPreview" topLeftCell="A13" zoomScale="60" zoomScaleNormal="50" workbookViewId="0">
      <selection activeCell="R24" sqref="R24"/>
    </sheetView>
  </sheetViews>
  <sheetFormatPr defaultRowHeight="15"/>
  <cols>
    <col min="1" max="1" width="43.140625" customWidth="1"/>
    <col min="2" max="2" width="15.140625" customWidth="1"/>
    <col min="3" max="3" width="14.85546875" customWidth="1"/>
    <col min="4" max="14" width="14" bestFit="1" customWidth="1"/>
  </cols>
  <sheetData>
    <row r="1" spans="1:14" ht="38.25" customHeight="1">
      <c r="J1" s="436" t="s">
        <v>11</v>
      </c>
      <c r="K1" s="437"/>
      <c r="L1" s="437"/>
      <c r="M1" s="437"/>
      <c r="N1" s="437"/>
    </row>
    <row r="2" spans="1:14" ht="33.75" customHeight="1">
      <c r="A2" s="43"/>
    </row>
    <row r="3" spans="1:14" ht="95.25" customHeight="1">
      <c r="A3" s="444" t="s">
        <v>94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6"/>
    </row>
    <row r="4" spans="1:14" ht="15.75">
      <c r="A4" s="132" t="s">
        <v>0</v>
      </c>
      <c r="B4" s="44">
        <v>42705</v>
      </c>
      <c r="C4" s="44">
        <v>42736</v>
      </c>
      <c r="D4" s="44">
        <v>42767</v>
      </c>
      <c r="E4" s="44">
        <v>42795</v>
      </c>
      <c r="F4" s="44">
        <v>42826</v>
      </c>
      <c r="G4" s="44">
        <v>42856</v>
      </c>
      <c r="H4" s="159">
        <v>42887</v>
      </c>
      <c r="I4" s="44">
        <v>42917</v>
      </c>
      <c r="J4" s="44">
        <v>42948</v>
      </c>
      <c r="K4" s="44">
        <v>42979</v>
      </c>
      <c r="L4" s="44">
        <v>43009</v>
      </c>
      <c r="M4" s="44">
        <v>43040</v>
      </c>
      <c r="N4" s="44">
        <v>43070</v>
      </c>
    </row>
    <row r="5" spans="1:14" ht="47.25">
      <c r="A5" s="133" t="s">
        <v>13</v>
      </c>
      <c r="B5" s="128">
        <f>'Приложение №1'!D8</f>
        <v>91.175000000000011</v>
      </c>
      <c r="C5" s="128">
        <f>'Приложение №1'!J8</f>
        <v>159.482</v>
      </c>
      <c r="D5" s="129">
        <v>57.75</v>
      </c>
      <c r="E5" s="129">
        <v>50.55</v>
      </c>
      <c r="F5" s="129">
        <v>61.59</v>
      </c>
      <c r="G5" s="129">
        <v>56.07</v>
      </c>
      <c r="H5" s="160">
        <f>39.065+41.169</f>
        <v>80.233999999999995</v>
      </c>
      <c r="I5" s="129">
        <v>130.94</v>
      </c>
      <c r="J5" s="129">
        <v>86.39</v>
      </c>
      <c r="K5" s="129">
        <v>84.06</v>
      </c>
      <c r="L5" s="129">
        <v>108.06</v>
      </c>
      <c r="M5" s="129">
        <v>255.8</v>
      </c>
      <c r="N5" s="129">
        <v>103.12</v>
      </c>
    </row>
    <row r="6" spans="1:14" ht="47.25">
      <c r="A6" s="133" t="s">
        <v>21</v>
      </c>
      <c r="B6" s="128">
        <f>'Приложение №1'!D9</f>
        <v>43026.406999999999</v>
      </c>
      <c r="C6" s="128">
        <f>'Приложение №1'!J9</f>
        <v>36952.403999999995</v>
      </c>
      <c r="D6" s="129">
        <v>43883.72</v>
      </c>
      <c r="E6" s="129">
        <v>40913.56</v>
      </c>
      <c r="F6" s="129">
        <v>41925.629999999997</v>
      </c>
      <c r="G6" s="129">
        <v>39789.339999999997</v>
      </c>
      <c r="H6" s="160">
        <v>40411.050000000003</v>
      </c>
      <c r="I6" s="129">
        <v>46848.9</v>
      </c>
      <c r="J6" s="129">
        <v>55917.14</v>
      </c>
      <c r="K6" s="129">
        <v>47843.16</v>
      </c>
      <c r="L6" s="129">
        <v>46621.78</v>
      </c>
      <c r="M6" s="129">
        <v>43999.62</v>
      </c>
      <c r="N6" s="129">
        <v>43191.74</v>
      </c>
    </row>
    <row r="7" spans="1:14" ht="78.75">
      <c r="A7" s="133" t="s">
        <v>1</v>
      </c>
      <c r="B7" s="128">
        <f>'Приложение №1'!D10</f>
        <v>2594.0149999999999</v>
      </c>
      <c r="C7" s="128">
        <f>'Приложение №1'!J10</f>
        <v>4157.933</v>
      </c>
      <c r="D7" s="129">
        <v>2774.39</v>
      </c>
      <c r="E7" s="129">
        <v>2306.48</v>
      </c>
      <c r="F7" s="129">
        <v>3010.23</v>
      </c>
      <c r="G7" s="129">
        <v>1653.27</v>
      </c>
      <c r="H7" s="160">
        <v>3966.556</v>
      </c>
      <c r="I7" s="129">
        <v>3198.14</v>
      </c>
      <c r="J7" s="129">
        <v>5116.8500000000004</v>
      </c>
      <c r="K7" s="129">
        <v>4651.3999999999996</v>
      </c>
      <c r="L7" s="129">
        <v>4778.01</v>
      </c>
      <c r="M7" s="129">
        <v>2479.71</v>
      </c>
      <c r="N7" s="129">
        <v>3224.13</v>
      </c>
    </row>
    <row r="8" spans="1:14" ht="31.5">
      <c r="A8" s="133" t="s">
        <v>2</v>
      </c>
      <c r="B8" s="128">
        <f>'Приложение №1'!D11</f>
        <v>30358.713</v>
      </c>
      <c r="C8" s="128">
        <f>'Приложение №1'!J11</f>
        <v>24750.132000000001</v>
      </c>
      <c r="D8" s="129">
        <v>33154.97</v>
      </c>
      <c r="E8" s="129">
        <v>26336.52</v>
      </c>
      <c r="F8" s="129">
        <v>24885.64</v>
      </c>
      <c r="G8" s="129">
        <v>18862.34</v>
      </c>
      <c r="H8" s="160">
        <v>21188.504000000001</v>
      </c>
      <c r="I8" s="129">
        <v>38812.480000000003</v>
      </c>
      <c r="J8" s="129">
        <v>15669.11</v>
      </c>
      <c r="K8" s="129">
        <v>23252.91</v>
      </c>
      <c r="L8" s="129">
        <v>22342.45</v>
      </c>
      <c r="M8" s="129">
        <v>26560.36</v>
      </c>
      <c r="N8" s="129">
        <v>27460.36</v>
      </c>
    </row>
    <row r="9" spans="1:14" ht="18.75" customHeight="1">
      <c r="A9" s="134" t="s">
        <v>20</v>
      </c>
      <c r="B9" s="128">
        <f>'Приложение №1'!D12</f>
        <v>3445.7099999999996</v>
      </c>
      <c r="C9" s="128">
        <f>'Приложение №1'!J12</f>
        <v>2675.8710000000001</v>
      </c>
      <c r="D9" s="129">
        <v>2243.54</v>
      </c>
      <c r="E9" s="129">
        <v>1697.63</v>
      </c>
      <c r="F9" s="129">
        <v>1185.3800000000001</v>
      </c>
      <c r="G9" s="129">
        <v>2666.23</v>
      </c>
      <c r="H9" s="160">
        <v>2559.2739999999999</v>
      </c>
      <c r="I9" s="129">
        <v>2889.47</v>
      </c>
      <c r="J9" s="129">
        <v>4275.18</v>
      </c>
      <c r="K9" s="129">
        <v>5452.34</v>
      </c>
      <c r="L9" s="129">
        <v>2707.18</v>
      </c>
      <c r="M9" s="129">
        <v>2094.67</v>
      </c>
      <c r="N9" s="129">
        <v>2707.75</v>
      </c>
    </row>
    <row r="10" spans="1:14" ht="24" customHeight="1">
      <c r="A10" s="135" t="s">
        <v>7</v>
      </c>
      <c r="B10" s="130">
        <f>SUM(B5:B9)</f>
        <v>79516.02</v>
      </c>
      <c r="C10" s="130">
        <f>SUM(C5:C9)</f>
        <v>68695.822</v>
      </c>
      <c r="D10" s="131">
        <f>SUM(D5:D9)</f>
        <v>82114.37</v>
      </c>
      <c r="E10" s="131">
        <f>SUM(E5:E9)</f>
        <v>71304.740000000005</v>
      </c>
      <c r="F10" s="131">
        <f t="shared" ref="F10:N10" si="0">SUM(F5:F9)</f>
        <v>71068.47</v>
      </c>
      <c r="G10" s="131">
        <f t="shared" si="0"/>
        <v>63027.249999999993</v>
      </c>
      <c r="H10" s="161">
        <f t="shared" si="0"/>
        <v>68205.618000000002</v>
      </c>
      <c r="I10" s="131">
        <f t="shared" si="0"/>
        <v>91879.930000000008</v>
      </c>
      <c r="J10" s="131">
        <f t="shared" si="0"/>
        <v>81064.669999999984</v>
      </c>
      <c r="K10" s="131">
        <f t="shared" si="0"/>
        <v>81283.87</v>
      </c>
      <c r="L10" s="131">
        <f t="shared" si="0"/>
        <v>76557.48</v>
      </c>
      <c r="M10" s="131">
        <f t="shared" si="0"/>
        <v>75390.16</v>
      </c>
      <c r="N10" s="131">
        <f t="shared" si="0"/>
        <v>76687.100000000006</v>
      </c>
    </row>
    <row r="11" spans="1:14" ht="26.25" customHeight="1"/>
    <row r="17" spans="10:14" ht="37.5">
      <c r="J17" s="172"/>
      <c r="K17" s="177" t="s">
        <v>10</v>
      </c>
      <c r="L17" s="173"/>
      <c r="M17" s="173"/>
      <c r="N17" s="173"/>
    </row>
  </sheetData>
  <mergeCells count="2">
    <mergeCell ref="A3:N3"/>
    <mergeCell ref="J1:N1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opLeftCell="C3" zoomScaleNormal="100" workbookViewId="0">
      <selection activeCell="G9" sqref="G9"/>
    </sheetView>
  </sheetViews>
  <sheetFormatPr defaultRowHeight="15"/>
  <cols>
    <col min="1" max="1" width="43.140625" customWidth="1"/>
    <col min="2" max="2" width="14" customWidth="1"/>
    <col min="3" max="3" width="13.42578125" customWidth="1"/>
    <col min="4" max="4" width="12.5703125" customWidth="1"/>
    <col min="5" max="5" width="12.85546875" customWidth="1"/>
    <col min="6" max="6" width="12.5703125" customWidth="1"/>
    <col min="7" max="7" width="12.42578125" customWidth="1"/>
    <col min="8" max="8" width="14.7109375" customWidth="1"/>
    <col min="9" max="9" width="17.7109375" customWidth="1"/>
    <col min="10" max="10" width="16.28515625" customWidth="1"/>
    <col min="11" max="11" width="14.7109375" customWidth="1"/>
    <col min="12" max="12" width="14.5703125" customWidth="1"/>
  </cols>
  <sheetData>
    <row r="1" spans="1:12" ht="15.75" customHeight="1">
      <c r="A1" s="43"/>
      <c r="B1" s="43"/>
      <c r="C1" s="43"/>
      <c r="D1" s="438"/>
      <c r="E1" s="438"/>
      <c r="F1" s="438"/>
      <c r="G1" s="49"/>
      <c r="H1" s="49"/>
    </row>
    <row r="2" spans="1:12" ht="36.75" customHeight="1">
      <c r="A2" s="378" t="s">
        <v>36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</row>
    <row r="3" spans="1:12" ht="95.25" customHeight="1">
      <c r="A3" s="42"/>
      <c r="B3" s="45">
        <v>41974</v>
      </c>
      <c r="C3" s="44">
        <v>42005</v>
      </c>
      <c r="D3" s="44">
        <v>42036</v>
      </c>
      <c r="E3" s="44">
        <v>42064</v>
      </c>
      <c r="F3" s="44">
        <v>42095</v>
      </c>
      <c r="G3" s="44" t="s">
        <v>32</v>
      </c>
      <c r="H3" s="44" t="s">
        <v>33</v>
      </c>
      <c r="I3" s="44" t="s">
        <v>28</v>
      </c>
      <c r="J3" s="44" t="s">
        <v>29</v>
      </c>
      <c r="K3" s="44" t="s">
        <v>30</v>
      </c>
      <c r="L3" s="44" t="s">
        <v>31</v>
      </c>
    </row>
    <row r="4" spans="1:12" ht="31.5">
      <c r="A4" s="31" t="s">
        <v>13</v>
      </c>
      <c r="B4" s="69" t="e">
        <f>#REF!</f>
        <v>#REF!</v>
      </c>
      <c r="C4" s="21" t="e">
        <f>#REF!</f>
        <v>#REF!</v>
      </c>
      <c r="D4" s="21" t="e">
        <f>#REF!</f>
        <v>#REF!</v>
      </c>
      <c r="E4" s="20" t="e">
        <f>#REF!</f>
        <v>#REF!</v>
      </c>
      <c r="F4" s="20" t="e">
        <f>#REF!</f>
        <v>#REF!</v>
      </c>
      <c r="G4" s="20" t="e">
        <f t="shared" ref="G4:G9" si="0">C4+D4+E4+F4</f>
        <v>#REF!</v>
      </c>
      <c r="H4" s="47" t="e">
        <f t="shared" ref="H4:H9" si="1">G4/G12*100</f>
        <v>#REF!</v>
      </c>
      <c r="I4" s="47" t="e">
        <f>C4/B4*100</f>
        <v>#REF!</v>
      </c>
      <c r="J4" s="47" t="e">
        <f>D4/C4*100</f>
        <v>#REF!</v>
      </c>
      <c r="K4" s="47" t="e">
        <f>E4/D4*100</f>
        <v>#REF!</v>
      </c>
      <c r="L4" s="20" t="e">
        <f>F4/E4*100</f>
        <v>#REF!</v>
      </c>
    </row>
    <row r="5" spans="1:12" ht="47.25">
      <c r="A5" s="32" t="s">
        <v>21</v>
      </c>
      <c r="B5" s="71" t="e">
        <f>#REF!</f>
        <v>#REF!</v>
      </c>
      <c r="C5" s="21" t="e">
        <f>#REF!</f>
        <v>#REF!</v>
      </c>
      <c r="D5" s="21" t="e">
        <f>#REF!</f>
        <v>#REF!</v>
      </c>
      <c r="E5" s="20" t="e">
        <f>#REF!</f>
        <v>#REF!</v>
      </c>
      <c r="F5" s="20" t="e">
        <f>#REF!</f>
        <v>#REF!</v>
      </c>
      <c r="G5" s="20" t="e">
        <f t="shared" si="0"/>
        <v>#REF!</v>
      </c>
      <c r="H5" s="47" t="e">
        <f t="shared" si="1"/>
        <v>#REF!</v>
      </c>
      <c r="I5" s="47" t="e">
        <f t="shared" ref="I5:L9" si="2">C5/B5*100</f>
        <v>#REF!</v>
      </c>
      <c r="J5" s="47" t="e">
        <f t="shared" si="2"/>
        <v>#REF!</v>
      </c>
      <c r="K5" s="47" t="e">
        <f t="shared" si="2"/>
        <v>#REF!</v>
      </c>
      <c r="L5" s="47" t="e">
        <f t="shared" si="2"/>
        <v>#REF!</v>
      </c>
    </row>
    <row r="6" spans="1:12" ht="63">
      <c r="A6" s="31" t="s">
        <v>1</v>
      </c>
      <c r="B6" s="69" t="e">
        <f>#REF!</f>
        <v>#REF!</v>
      </c>
      <c r="C6" s="21" t="e">
        <f>#REF!</f>
        <v>#REF!</v>
      </c>
      <c r="D6" s="21" t="e">
        <f>#REF!</f>
        <v>#REF!</v>
      </c>
      <c r="E6" s="20" t="e">
        <f>#REF!</f>
        <v>#REF!</v>
      </c>
      <c r="F6" s="20" t="e">
        <f>#REF!</f>
        <v>#REF!</v>
      </c>
      <c r="G6" s="20" t="e">
        <f t="shared" si="0"/>
        <v>#REF!</v>
      </c>
      <c r="H6" s="47" t="e">
        <f t="shared" si="1"/>
        <v>#REF!</v>
      </c>
      <c r="I6" s="47" t="e">
        <f t="shared" si="2"/>
        <v>#REF!</v>
      </c>
      <c r="J6" s="47" t="e">
        <f t="shared" si="2"/>
        <v>#REF!</v>
      </c>
      <c r="K6" s="47" t="e">
        <f t="shared" si="2"/>
        <v>#REF!</v>
      </c>
      <c r="L6" s="47" t="e">
        <f t="shared" si="2"/>
        <v>#REF!</v>
      </c>
    </row>
    <row r="7" spans="1:12" ht="31.5">
      <c r="A7" s="31" t="s">
        <v>2</v>
      </c>
      <c r="B7" s="69" t="e">
        <f>#REF!</f>
        <v>#REF!</v>
      </c>
      <c r="C7" s="21" t="e">
        <f>#REF!</f>
        <v>#REF!</v>
      </c>
      <c r="D7" s="21" t="e">
        <f>#REF!</f>
        <v>#REF!</v>
      </c>
      <c r="E7" s="21" t="e">
        <f>#REF!</f>
        <v>#REF!</v>
      </c>
      <c r="F7" s="21" t="e">
        <f>#REF!</f>
        <v>#REF!</v>
      </c>
      <c r="G7" s="20" t="e">
        <f t="shared" si="0"/>
        <v>#REF!</v>
      </c>
      <c r="H7" s="47" t="e">
        <f t="shared" si="1"/>
        <v>#REF!</v>
      </c>
      <c r="I7" s="47" t="e">
        <f t="shared" si="2"/>
        <v>#REF!</v>
      </c>
      <c r="J7" s="47" t="e">
        <f t="shared" si="2"/>
        <v>#REF!</v>
      </c>
      <c r="K7" s="47" t="e">
        <f t="shared" si="2"/>
        <v>#REF!</v>
      </c>
      <c r="L7" s="47" t="e">
        <f t="shared" si="2"/>
        <v>#REF!</v>
      </c>
    </row>
    <row r="8" spans="1:12" ht="31.5">
      <c r="A8" s="33" t="s">
        <v>20</v>
      </c>
      <c r="B8" s="69" t="e">
        <f>#REF!</f>
        <v>#REF!</v>
      </c>
      <c r="C8" s="21" t="e">
        <f>#REF!</f>
        <v>#REF!</v>
      </c>
      <c r="D8" s="21" t="e">
        <f>#REF!</f>
        <v>#REF!</v>
      </c>
      <c r="E8" s="20" t="e">
        <f>#REF!</f>
        <v>#REF!</v>
      </c>
      <c r="F8" s="20" t="e">
        <f>#REF!</f>
        <v>#REF!</v>
      </c>
      <c r="G8" s="20" t="e">
        <f t="shared" si="0"/>
        <v>#REF!</v>
      </c>
      <c r="H8" s="47" t="e">
        <f t="shared" si="1"/>
        <v>#REF!</v>
      </c>
      <c r="I8" s="47" t="e">
        <f t="shared" si="2"/>
        <v>#REF!</v>
      </c>
      <c r="J8" s="47" t="e">
        <f t="shared" si="2"/>
        <v>#REF!</v>
      </c>
      <c r="K8" s="47" t="e">
        <f t="shared" si="2"/>
        <v>#REF!</v>
      </c>
      <c r="L8" s="47" t="e">
        <f t="shared" si="2"/>
        <v>#REF!</v>
      </c>
    </row>
    <row r="9" spans="1:12" ht="18.75" customHeight="1">
      <c r="A9" s="18" t="s">
        <v>7</v>
      </c>
      <c r="B9" s="72" t="e">
        <f>B4+B5+B6+B7+B8</f>
        <v>#REF!</v>
      </c>
      <c r="C9" s="73" t="e">
        <f>SUM(C4:C8)</f>
        <v>#REF!</v>
      </c>
      <c r="D9" s="73" t="e">
        <f>SUM(D4:D8)</f>
        <v>#REF!</v>
      </c>
      <c r="E9" s="73" t="e">
        <f>SUM(E4:E8)</f>
        <v>#REF!</v>
      </c>
      <c r="F9" s="73" t="e">
        <f>SUM(F4:F8)</f>
        <v>#REF!</v>
      </c>
      <c r="G9" s="20" t="e">
        <f t="shared" si="0"/>
        <v>#REF!</v>
      </c>
      <c r="H9" s="47" t="e">
        <f t="shared" si="1"/>
        <v>#REF!</v>
      </c>
      <c r="I9" s="47" t="e">
        <f t="shared" si="2"/>
        <v>#REF!</v>
      </c>
      <c r="J9" s="47" t="e">
        <f t="shared" si="2"/>
        <v>#REF!</v>
      </c>
      <c r="K9" s="47" t="e">
        <f t="shared" si="2"/>
        <v>#REF!</v>
      </c>
      <c r="L9" s="47" t="e">
        <f t="shared" si="2"/>
        <v>#REF!</v>
      </c>
    </row>
    <row r="10" spans="1:12" ht="24" customHeight="1"/>
    <row r="11" spans="1:12" ht="15.75">
      <c r="A11" s="42"/>
      <c r="B11" s="45">
        <v>41609</v>
      </c>
      <c r="C11" s="44">
        <v>41640</v>
      </c>
      <c r="D11" s="44">
        <v>41671</v>
      </c>
      <c r="E11" s="44">
        <v>41699</v>
      </c>
      <c r="F11" s="44">
        <v>41730</v>
      </c>
      <c r="G11" s="44" t="s">
        <v>34</v>
      </c>
      <c r="H11" s="63"/>
    </row>
    <row r="12" spans="1:12" ht="31.5">
      <c r="A12" s="31" t="s">
        <v>13</v>
      </c>
      <c r="B12" s="51" t="e">
        <f>#REF!</f>
        <v>#REF!</v>
      </c>
      <c r="C12" s="46" t="e">
        <f>#REF!</f>
        <v>#REF!</v>
      </c>
      <c r="D12" s="46" t="e">
        <f>#REF!</f>
        <v>#REF!</v>
      </c>
      <c r="E12" s="47" t="e">
        <f>#REF!</f>
        <v>#REF!</v>
      </c>
      <c r="F12" s="47" t="e">
        <f>#REF!</f>
        <v>#REF!</v>
      </c>
      <c r="G12" s="47" t="e">
        <f t="shared" ref="G12:G17" si="3">C12+D12+E12+F12</f>
        <v>#REF!</v>
      </c>
      <c r="H12" s="64"/>
      <c r="I12" s="67"/>
    </row>
    <row r="13" spans="1:12" ht="47.25">
      <c r="A13" s="32" t="s">
        <v>21</v>
      </c>
      <c r="B13" s="52" t="e">
        <f>#REF!</f>
        <v>#REF!</v>
      </c>
      <c r="C13" s="46" t="e">
        <f>#REF!</f>
        <v>#REF!</v>
      </c>
      <c r="D13" s="46" t="e">
        <f>#REF!</f>
        <v>#REF!</v>
      </c>
      <c r="E13" s="47" t="e">
        <f>#REF!</f>
        <v>#REF!</v>
      </c>
      <c r="F13" s="47" t="e">
        <f>#REF!</f>
        <v>#REF!</v>
      </c>
      <c r="G13" s="47" t="e">
        <f t="shared" si="3"/>
        <v>#REF!</v>
      </c>
      <c r="H13" s="64"/>
      <c r="I13" s="62"/>
    </row>
    <row r="14" spans="1:12" ht="63">
      <c r="A14" s="31" t="s">
        <v>1</v>
      </c>
      <c r="B14" s="51" t="e">
        <f>#REF!</f>
        <v>#REF!</v>
      </c>
      <c r="C14" s="46" t="e">
        <f>#REF!</f>
        <v>#REF!</v>
      </c>
      <c r="D14" s="46" t="e">
        <f>#REF!</f>
        <v>#REF!</v>
      </c>
      <c r="E14" s="47" t="e">
        <f>#REF!</f>
        <v>#REF!</v>
      </c>
      <c r="F14" s="47" t="e">
        <f>#REF!</f>
        <v>#REF!</v>
      </c>
      <c r="G14" s="47" t="e">
        <f t="shared" si="3"/>
        <v>#REF!</v>
      </c>
      <c r="H14" s="64"/>
      <c r="I14" s="62"/>
    </row>
    <row r="15" spans="1:12" ht="31.5">
      <c r="A15" s="31" t="s">
        <v>2</v>
      </c>
      <c r="B15" s="51" t="e">
        <f>#REF!</f>
        <v>#REF!</v>
      </c>
      <c r="C15" s="46" t="e">
        <f>#REF!</f>
        <v>#REF!</v>
      </c>
      <c r="D15" s="46" t="e">
        <f>#REF!</f>
        <v>#REF!</v>
      </c>
      <c r="E15" s="46" t="e">
        <f>#REF!</f>
        <v>#REF!</v>
      </c>
      <c r="F15" s="46" t="e">
        <f>#REF!</f>
        <v>#REF!</v>
      </c>
      <c r="G15" s="47" t="e">
        <f t="shared" si="3"/>
        <v>#REF!</v>
      </c>
      <c r="H15" s="65"/>
      <c r="I15" s="62"/>
    </row>
    <row r="16" spans="1:12" ht="31.5">
      <c r="A16" s="33" t="s">
        <v>20</v>
      </c>
      <c r="B16" s="51" t="e">
        <f>#REF!</f>
        <v>#REF!</v>
      </c>
      <c r="C16" s="46" t="e">
        <f>#REF!</f>
        <v>#REF!</v>
      </c>
      <c r="D16" s="46" t="e">
        <f>#REF!</f>
        <v>#REF!</v>
      </c>
      <c r="E16" s="47" t="e">
        <f>#REF!</f>
        <v>#REF!</v>
      </c>
      <c r="F16" s="47" t="e">
        <f>#REF!</f>
        <v>#REF!</v>
      </c>
      <c r="G16" s="47" t="e">
        <f t="shared" si="3"/>
        <v>#REF!</v>
      </c>
      <c r="H16" s="64"/>
      <c r="I16" s="62"/>
    </row>
    <row r="17" spans="1:9" ht="15.75">
      <c r="A17" s="18" t="s">
        <v>7</v>
      </c>
      <c r="B17" s="61" t="e">
        <f>B12+B13+B14+B15+B16</f>
        <v>#REF!</v>
      </c>
      <c r="C17" s="19" t="e">
        <f>SUM(C12:C16)</f>
        <v>#REF!</v>
      </c>
      <c r="D17" s="19" t="e">
        <f>SUM(D12:D16)</f>
        <v>#REF!</v>
      </c>
      <c r="E17" s="48" t="e">
        <f>SUM(E12:E16)</f>
        <v>#REF!</v>
      </c>
      <c r="F17" s="19" t="e">
        <f>SUM(F12:F16)</f>
        <v>#REF!</v>
      </c>
      <c r="G17" s="47" t="e">
        <f t="shared" si="3"/>
        <v>#REF!</v>
      </c>
      <c r="H17" s="66"/>
      <c r="I17" s="62"/>
    </row>
  </sheetData>
  <mergeCells count="2">
    <mergeCell ref="D1:F1"/>
    <mergeCell ref="A2:L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5"/>
  <sheetViews>
    <sheetView view="pageBreakPreview" zoomScale="60" zoomScaleNormal="60" workbookViewId="0">
      <selection activeCell="E11" sqref="E11"/>
    </sheetView>
  </sheetViews>
  <sheetFormatPr defaultRowHeight="15"/>
  <cols>
    <col min="1" max="1" width="32.42578125" customWidth="1"/>
    <col min="2" max="4" width="18" bestFit="1" customWidth="1"/>
    <col min="5" max="5" width="18" customWidth="1"/>
    <col min="6" max="6" width="21.140625" hidden="1" customWidth="1"/>
    <col min="9" max="9" width="9.140625" customWidth="1"/>
    <col min="10" max="10" width="30" customWidth="1"/>
    <col min="11" max="11" width="16.85546875" customWidth="1"/>
  </cols>
  <sheetData>
    <row r="1" spans="1:15" ht="32.25" customHeight="1">
      <c r="C1" s="454" t="s">
        <v>100</v>
      </c>
      <c r="D1" s="455"/>
      <c r="E1" s="455"/>
      <c r="F1" s="455"/>
      <c r="K1" s="178" t="s">
        <v>11</v>
      </c>
      <c r="L1" s="174"/>
      <c r="M1" s="179"/>
      <c r="N1" s="179"/>
      <c r="O1" s="175"/>
    </row>
    <row r="3" spans="1:15">
      <c r="A3" s="451" t="s">
        <v>0</v>
      </c>
      <c r="B3" s="447" t="s">
        <v>104</v>
      </c>
      <c r="C3" s="447"/>
      <c r="D3" s="447"/>
      <c r="E3" s="447"/>
      <c r="F3" s="448"/>
    </row>
    <row r="4" spans="1:15" ht="15.75" customHeight="1">
      <c r="A4" s="452"/>
      <c r="B4" s="449"/>
      <c r="C4" s="449"/>
      <c r="D4" s="449"/>
      <c r="E4" s="449"/>
      <c r="F4" s="450"/>
    </row>
    <row r="5" spans="1:15" ht="66.75" customHeight="1">
      <c r="A5" s="453"/>
      <c r="B5" s="156" t="s">
        <v>45</v>
      </c>
      <c r="C5" s="141" t="s">
        <v>61</v>
      </c>
      <c r="D5" s="142" t="s">
        <v>95</v>
      </c>
      <c r="E5" s="142" t="s">
        <v>17</v>
      </c>
      <c r="F5" s="142" t="s">
        <v>46</v>
      </c>
    </row>
    <row r="6" spans="1:15" ht="42" customHeight="1">
      <c r="A6" s="136" t="s">
        <v>13</v>
      </c>
      <c r="B6" s="157">
        <v>0.12</v>
      </c>
      <c r="C6" s="158">
        <v>1127.95</v>
      </c>
      <c r="D6" s="148">
        <v>4884.7</v>
      </c>
      <c r="E6" s="148">
        <v>4.33</v>
      </c>
      <c r="F6" s="148">
        <v>98.91</v>
      </c>
    </row>
    <row r="7" spans="1:15" ht="47.25" customHeight="1">
      <c r="A7" s="136" t="s">
        <v>21</v>
      </c>
      <c r="B7" s="157">
        <v>58.7</v>
      </c>
      <c r="C7" s="158">
        <v>542431.68000000005</v>
      </c>
      <c r="D7" s="148">
        <v>2409870.6800000002</v>
      </c>
      <c r="E7" s="148">
        <v>4.4400000000000004</v>
      </c>
      <c r="F7" s="148">
        <v>100</v>
      </c>
    </row>
    <row r="8" spans="1:15" ht="73.5" customHeight="1">
      <c r="A8" s="136" t="s">
        <v>1</v>
      </c>
      <c r="B8" s="157">
        <v>4.3099999999999996</v>
      </c>
      <c r="C8" s="158">
        <v>39864.86</v>
      </c>
      <c r="D8" s="148">
        <v>124237.44</v>
      </c>
      <c r="E8" s="148">
        <v>3.12</v>
      </c>
      <c r="F8" s="148">
        <v>100</v>
      </c>
    </row>
    <row r="9" spans="1:15" ht="35.25" customHeight="1">
      <c r="A9" s="136" t="s">
        <v>2</v>
      </c>
      <c r="B9" s="157">
        <v>33.270000000000003</v>
      </c>
      <c r="C9" s="158">
        <v>307471.49</v>
      </c>
      <c r="D9" s="148">
        <v>954746.2</v>
      </c>
      <c r="E9" s="148">
        <v>3.11</v>
      </c>
      <c r="F9" s="148">
        <v>100</v>
      </c>
    </row>
    <row r="10" spans="1:15" ht="34.5" customHeight="1">
      <c r="A10" s="153" t="s">
        <v>97</v>
      </c>
      <c r="B10" s="169">
        <v>3.6</v>
      </c>
      <c r="C10" s="170">
        <v>33240.19</v>
      </c>
      <c r="D10" s="154">
        <v>143603.51</v>
      </c>
      <c r="E10" s="154">
        <v>4.32</v>
      </c>
      <c r="F10" s="148">
        <v>100.01</v>
      </c>
    </row>
    <row r="11" spans="1:15" ht="21" customHeight="1">
      <c r="A11" s="137" t="s">
        <v>3</v>
      </c>
      <c r="B11" s="157">
        <v>3.83</v>
      </c>
      <c r="C11" s="158">
        <v>1273.8900000000001</v>
      </c>
      <c r="D11" s="148">
        <v>5667.74</v>
      </c>
      <c r="E11" s="148">
        <v>4.45</v>
      </c>
      <c r="F11" s="148">
        <v>100</v>
      </c>
    </row>
    <row r="12" spans="1:15" ht="42.75" customHeight="1">
      <c r="A12" s="137" t="s">
        <v>4</v>
      </c>
      <c r="B12" s="157">
        <v>65.430000000000007</v>
      </c>
      <c r="C12" s="158">
        <v>21747.65</v>
      </c>
      <c r="D12" s="148">
        <v>96982.7</v>
      </c>
      <c r="E12" s="148">
        <v>4.46</v>
      </c>
      <c r="F12" s="148">
        <v>100</v>
      </c>
    </row>
    <row r="13" spans="1:15">
      <c r="A13" s="137" t="s">
        <v>5</v>
      </c>
      <c r="B13" s="157">
        <v>5.87</v>
      </c>
      <c r="C13" s="158">
        <v>1950.51</v>
      </c>
      <c r="D13" s="148">
        <v>8637.06</v>
      </c>
      <c r="E13" s="148">
        <v>4.43</v>
      </c>
      <c r="F13" s="148">
        <v>100</v>
      </c>
    </row>
    <row r="14" spans="1:15" ht="40.5" customHeight="1">
      <c r="A14" s="137" t="s">
        <v>12</v>
      </c>
      <c r="B14" s="157">
        <v>16.32</v>
      </c>
      <c r="C14" s="158">
        <v>5423.79</v>
      </c>
      <c r="D14" s="148">
        <v>19639.11</v>
      </c>
      <c r="E14" s="148">
        <v>3.62</v>
      </c>
      <c r="F14" s="148">
        <v>99.63</v>
      </c>
    </row>
    <row r="15" spans="1:15" ht="42.75" customHeight="1">
      <c r="A15" s="137" t="s">
        <v>6</v>
      </c>
      <c r="B15" s="157">
        <v>8.56</v>
      </c>
      <c r="C15" s="158">
        <v>2844.35</v>
      </c>
      <c r="D15" s="148">
        <v>12676.9</v>
      </c>
      <c r="E15" s="150">
        <v>4.46</v>
      </c>
      <c r="F15" s="148">
        <v>100</v>
      </c>
    </row>
  </sheetData>
  <mergeCells count="3">
    <mergeCell ref="B3:F4"/>
    <mergeCell ref="A3:A5"/>
    <mergeCell ref="C1:F1"/>
  </mergeCells>
  <pageMargins left="0.7" right="0.7" top="0.75" bottom="0.75" header="0.3" footer="0.3"/>
  <pageSetup paperSize="9" scale="72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15"/>
  <sheetViews>
    <sheetView zoomScale="50" zoomScaleNormal="50" workbookViewId="0">
      <selection activeCell="V8" sqref="V8"/>
    </sheetView>
  </sheetViews>
  <sheetFormatPr defaultRowHeight="15"/>
  <cols>
    <col min="1" max="1" width="29" customWidth="1"/>
    <col min="2" max="2" width="19.28515625" customWidth="1"/>
    <col min="3" max="3" width="21.5703125" customWidth="1"/>
    <col min="4" max="4" width="21.42578125" customWidth="1"/>
    <col min="5" max="5" width="22.5703125" customWidth="1"/>
    <col min="6" max="6" width="0.140625" customWidth="1"/>
    <col min="16" max="16" width="9.140625" customWidth="1"/>
    <col min="17" max="17" width="0.28515625" customWidth="1"/>
    <col min="19" max="19" width="27.42578125" customWidth="1"/>
  </cols>
  <sheetData>
    <row r="1" spans="1:19" ht="30.75" customHeight="1">
      <c r="D1" s="454" t="s">
        <v>101</v>
      </c>
      <c r="E1" s="455"/>
      <c r="R1" s="174"/>
      <c r="S1" s="175"/>
    </row>
    <row r="2" spans="1:19" ht="27" customHeight="1">
      <c r="F2" s="167"/>
      <c r="G2" s="171"/>
    </row>
    <row r="3" spans="1:19" ht="7.5" customHeight="1">
      <c r="A3" s="451" t="s">
        <v>0</v>
      </c>
      <c r="B3" s="456" t="s">
        <v>72</v>
      </c>
      <c r="C3" s="447"/>
      <c r="D3" s="447"/>
      <c r="E3" s="447"/>
      <c r="F3" s="168"/>
    </row>
    <row r="4" spans="1:19" ht="54.75" customHeight="1">
      <c r="A4" s="452"/>
      <c r="B4" s="457"/>
      <c r="C4" s="449"/>
      <c r="D4" s="449"/>
      <c r="E4" s="449"/>
      <c r="F4" s="142" t="s">
        <v>46</v>
      </c>
    </row>
    <row r="5" spans="1:19" ht="41.25" customHeight="1">
      <c r="A5" s="453"/>
      <c r="B5" s="142" t="s">
        <v>45</v>
      </c>
      <c r="C5" s="141" t="s">
        <v>61</v>
      </c>
      <c r="D5" s="142" t="s">
        <v>95</v>
      </c>
      <c r="E5" s="142" t="s">
        <v>17</v>
      </c>
      <c r="F5" s="148"/>
    </row>
    <row r="6" spans="1:19" ht="44.25" customHeight="1">
      <c r="A6" s="136" t="s">
        <v>13</v>
      </c>
      <c r="B6" s="151">
        <v>0.1</v>
      </c>
      <c r="C6" s="152">
        <v>197.9</v>
      </c>
      <c r="D6" s="151">
        <v>847.83</v>
      </c>
      <c r="E6" s="151">
        <v>4.28</v>
      </c>
      <c r="F6" s="148"/>
    </row>
    <row r="7" spans="1:19" ht="68.25" customHeight="1">
      <c r="A7" s="136" t="s">
        <v>21</v>
      </c>
      <c r="B7" s="151">
        <v>60.35</v>
      </c>
      <c r="C7" s="152">
        <v>122045.7</v>
      </c>
      <c r="D7" s="151">
        <v>529678.48</v>
      </c>
      <c r="E7" s="151">
        <v>4.34</v>
      </c>
      <c r="F7" s="148"/>
    </row>
    <row r="8" spans="1:19" ht="60.75" customHeight="1">
      <c r="A8" s="136" t="s">
        <v>1</v>
      </c>
      <c r="B8" s="151">
        <v>4.2699999999999996</v>
      </c>
      <c r="C8" s="152">
        <v>8630.07</v>
      </c>
      <c r="D8" s="151">
        <v>26235.41</v>
      </c>
      <c r="E8" s="151">
        <v>3.04</v>
      </c>
      <c r="F8" s="148"/>
    </row>
    <row r="9" spans="1:19" ht="30" customHeight="1">
      <c r="A9" s="136" t="s">
        <v>2</v>
      </c>
      <c r="B9" s="151">
        <v>32.11</v>
      </c>
      <c r="C9" s="152">
        <v>64936.47</v>
      </c>
      <c r="D9" s="151">
        <v>197406.95</v>
      </c>
      <c r="E9" s="151">
        <v>3.04</v>
      </c>
      <c r="F9" s="148"/>
    </row>
    <row r="10" spans="1:19" ht="21" customHeight="1">
      <c r="A10" s="153" t="s">
        <v>98</v>
      </c>
      <c r="B10" s="163">
        <v>3.17</v>
      </c>
      <c r="C10" s="162">
        <v>6410.88</v>
      </c>
      <c r="D10" s="151">
        <v>26905.82</v>
      </c>
      <c r="E10" s="151">
        <v>4.2</v>
      </c>
      <c r="F10" s="148"/>
    </row>
    <row r="11" spans="1:19" ht="44.25" customHeight="1">
      <c r="A11" s="137" t="s">
        <v>3</v>
      </c>
      <c r="B11" s="151">
        <f>C11/C10*100</f>
        <v>3.8936932215234101</v>
      </c>
      <c r="C11" s="152">
        <v>249.62</v>
      </c>
      <c r="D11" s="151">
        <v>1083.3599999999999</v>
      </c>
      <c r="E11" s="151">
        <v>4.34</v>
      </c>
      <c r="F11" s="148"/>
    </row>
    <row r="12" spans="1:19" ht="44.25" customHeight="1">
      <c r="A12" s="137" t="s">
        <v>4</v>
      </c>
      <c r="B12" s="151">
        <f>C12/C10*100</f>
        <v>74.196990116801445</v>
      </c>
      <c r="C12" s="152">
        <v>4756.68</v>
      </c>
      <c r="D12" s="151">
        <v>20643.990000000002</v>
      </c>
      <c r="E12" s="151">
        <v>4.34</v>
      </c>
      <c r="F12" s="148"/>
    </row>
    <row r="13" spans="1:19" ht="43.5" customHeight="1">
      <c r="A13" s="137" t="s">
        <v>5</v>
      </c>
      <c r="B13" s="151">
        <f>C13/C10*100</f>
        <v>5.7801737047020065</v>
      </c>
      <c r="C13" s="152">
        <v>370.56</v>
      </c>
      <c r="D13" s="151">
        <v>1608.22</v>
      </c>
      <c r="E13" s="151">
        <v>4.34</v>
      </c>
      <c r="F13" s="148"/>
    </row>
    <row r="14" spans="1:19" ht="61.5" customHeight="1">
      <c r="A14" s="137" t="s">
        <v>12</v>
      </c>
      <c r="B14" s="151">
        <f>C14/C10*100</f>
        <v>18.43272686433064</v>
      </c>
      <c r="C14" s="152">
        <v>1181.7</v>
      </c>
      <c r="D14" s="151">
        <v>4211.17</v>
      </c>
      <c r="E14" s="151">
        <v>3.56</v>
      </c>
      <c r="F14" s="148"/>
    </row>
    <row r="15" spans="1:19" ht="57.75" customHeight="1">
      <c r="A15" s="166" t="s">
        <v>6</v>
      </c>
      <c r="B15" s="163">
        <f>C15/C10*100</f>
        <v>-2.3035839073574924</v>
      </c>
      <c r="C15" s="164">
        <v>-147.68</v>
      </c>
      <c r="D15" s="163">
        <v>-640.91999999999996</v>
      </c>
      <c r="E15" s="165">
        <v>4.34</v>
      </c>
    </row>
  </sheetData>
  <mergeCells count="3">
    <mergeCell ref="A3:A5"/>
    <mergeCell ref="B3:E4"/>
    <mergeCell ref="D1:E1"/>
  </mergeCells>
  <pageMargins left="0.7" right="0.7" top="0.75" bottom="0.75" header="0.3" footer="0.3"/>
  <pageSetup paperSize="9" orientation="portrait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6"/>
  <sheetViews>
    <sheetView zoomScale="50" zoomScaleNormal="50" workbookViewId="0">
      <selection activeCell="W6" sqref="W6"/>
    </sheetView>
  </sheetViews>
  <sheetFormatPr defaultRowHeight="15"/>
  <cols>
    <col min="1" max="1" width="32.140625" customWidth="1"/>
    <col min="2" max="4" width="15.7109375" customWidth="1"/>
    <col min="5" max="5" width="15.5703125" customWidth="1"/>
    <col min="6" max="6" width="0.140625" hidden="1" customWidth="1"/>
  </cols>
  <sheetData>
    <row r="1" spans="1:18" ht="27.75" customHeight="1">
      <c r="B1" s="458" t="s">
        <v>102</v>
      </c>
      <c r="C1" s="458"/>
      <c r="D1" s="458"/>
      <c r="E1" s="458"/>
      <c r="F1" s="175"/>
      <c r="G1" s="175"/>
      <c r="H1" s="175"/>
      <c r="I1" s="175"/>
      <c r="K1" s="176"/>
      <c r="L1" s="175"/>
      <c r="M1" s="175"/>
      <c r="N1" s="175"/>
      <c r="O1" s="175"/>
      <c r="P1" s="175"/>
      <c r="Q1" s="175"/>
      <c r="R1" s="175"/>
    </row>
    <row r="2" spans="1:18" ht="1.5" hidden="1" customHeight="1"/>
    <row r="3" spans="1:18" ht="64.5" customHeight="1"/>
    <row r="4" spans="1:18" ht="45" customHeight="1">
      <c r="A4" s="451" t="s">
        <v>0</v>
      </c>
      <c r="B4" s="447" t="s">
        <v>96</v>
      </c>
      <c r="C4" s="447"/>
      <c r="D4" s="447"/>
      <c r="E4" s="447"/>
      <c r="F4" s="448"/>
    </row>
    <row r="5" spans="1:18" ht="45.75" customHeight="1">
      <c r="A5" s="452"/>
      <c r="B5" s="449"/>
      <c r="C5" s="449"/>
      <c r="D5" s="449"/>
      <c r="E5" s="449"/>
      <c r="F5" s="450"/>
    </row>
    <row r="6" spans="1:18" ht="67.5" customHeight="1">
      <c r="A6" s="453"/>
      <c r="B6" s="142" t="s">
        <v>45</v>
      </c>
      <c r="C6" s="141" t="s">
        <v>61</v>
      </c>
      <c r="D6" s="142" t="s">
        <v>95</v>
      </c>
      <c r="E6" s="142" t="s">
        <v>17</v>
      </c>
      <c r="F6" s="142" t="s">
        <v>46</v>
      </c>
    </row>
    <row r="7" spans="1:18" ht="34.5" customHeight="1">
      <c r="A7" s="136" t="s">
        <v>13</v>
      </c>
      <c r="B7" s="148">
        <v>0.08</v>
      </c>
      <c r="C7" s="149">
        <v>359.59</v>
      </c>
      <c r="D7" s="148">
        <v>1511.66</v>
      </c>
      <c r="E7" s="148">
        <v>4.2</v>
      </c>
      <c r="F7" s="148"/>
    </row>
    <row r="8" spans="1:18" ht="33" customHeight="1">
      <c r="A8" s="136" t="s">
        <v>21</v>
      </c>
      <c r="B8" s="148">
        <v>57.9</v>
      </c>
      <c r="C8" s="149">
        <v>252009.34</v>
      </c>
      <c r="D8" s="148">
        <v>1093720.81</v>
      </c>
      <c r="E8" s="148">
        <v>4.34</v>
      </c>
      <c r="F8" s="148"/>
    </row>
    <row r="9" spans="1:18" ht="24.75" customHeight="1">
      <c r="A9" s="136" t="s">
        <v>1</v>
      </c>
      <c r="B9" s="148">
        <v>3.77</v>
      </c>
      <c r="C9" s="149">
        <v>16416.63</v>
      </c>
      <c r="D9" s="148">
        <v>49906.54</v>
      </c>
      <c r="E9" s="148">
        <v>3.04</v>
      </c>
      <c r="F9" s="148"/>
    </row>
    <row r="10" spans="1:18" ht="42" customHeight="1">
      <c r="A10" s="136" t="s">
        <v>2</v>
      </c>
      <c r="B10" s="148">
        <v>35.24</v>
      </c>
      <c r="C10" s="149">
        <v>153373.82999999999</v>
      </c>
      <c r="D10" s="148">
        <v>466256.61</v>
      </c>
      <c r="E10" s="148">
        <v>3.04</v>
      </c>
      <c r="F10" s="148"/>
    </row>
    <row r="11" spans="1:18" ht="21.75" customHeight="1">
      <c r="A11" s="153" t="s">
        <v>98</v>
      </c>
      <c r="B11" s="154">
        <v>3.01</v>
      </c>
      <c r="C11" s="155">
        <v>13103.6</v>
      </c>
      <c r="D11" s="154">
        <v>55036.05</v>
      </c>
      <c r="E11" s="154">
        <v>4.2</v>
      </c>
      <c r="F11" s="148"/>
    </row>
    <row r="12" spans="1:18" ht="46.5" customHeight="1">
      <c r="A12" s="137" t="s">
        <v>3</v>
      </c>
      <c r="B12" s="148">
        <v>4.1399999999999997</v>
      </c>
      <c r="C12" s="149">
        <v>542.01</v>
      </c>
      <c r="D12" s="148">
        <v>2352.33</v>
      </c>
      <c r="E12" s="148">
        <v>4.34</v>
      </c>
      <c r="F12" s="148"/>
    </row>
    <row r="13" spans="1:18" ht="44.25" customHeight="1">
      <c r="A13" s="137" t="s">
        <v>4</v>
      </c>
      <c r="B13" s="148">
        <v>61.62</v>
      </c>
      <c r="C13" s="149">
        <v>8074.44</v>
      </c>
      <c r="D13" s="148">
        <v>35043.07</v>
      </c>
      <c r="E13" s="148">
        <v>4.34</v>
      </c>
      <c r="F13" s="148"/>
    </row>
    <row r="14" spans="1:18">
      <c r="A14" s="137" t="s">
        <v>5</v>
      </c>
      <c r="B14" s="148">
        <v>7.98</v>
      </c>
      <c r="C14" s="149">
        <v>1046.17</v>
      </c>
      <c r="D14" s="148">
        <v>4540.37</v>
      </c>
      <c r="E14" s="148">
        <v>4.34</v>
      </c>
      <c r="F14" s="148"/>
    </row>
    <row r="15" spans="1:18" ht="38.25">
      <c r="A15" s="137" t="s">
        <v>12</v>
      </c>
      <c r="B15" s="148">
        <v>17.91</v>
      </c>
      <c r="C15" s="149">
        <v>2346.1999999999998</v>
      </c>
      <c r="D15" s="148">
        <v>8348.94</v>
      </c>
      <c r="E15" s="148">
        <v>3.56</v>
      </c>
      <c r="F15" s="148"/>
    </row>
    <row r="16" spans="1:18" ht="38.25">
      <c r="A16" s="137" t="s">
        <v>6</v>
      </c>
      <c r="B16" s="148">
        <v>8.35</v>
      </c>
      <c r="C16" s="149">
        <v>1094.78</v>
      </c>
      <c r="D16" s="148">
        <v>4751.34</v>
      </c>
      <c r="E16" s="150">
        <v>4.34</v>
      </c>
      <c r="F16" s="148"/>
    </row>
  </sheetData>
  <mergeCells count="3">
    <mergeCell ref="A4:A6"/>
    <mergeCell ref="B4:F5"/>
    <mergeCell ref="B1:E1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" sqref="B1"/>
    </sheetView>
  </sheetViews>
  <sheetFormatPr defaultRowHeight="15"/>
  <sheetData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40"/>
  <sheetViews>
    <sheetView zoomScale="71" zoomScaleNormal="71" workbookViewId="0">
      <pane xSplit="2" ySplit="3" topLeftCell="CA4" activePane="bottomRight" state="frozen"/>
      <selection pane="topRight" activeCell="D1" sqref="D1"/>
      <selection pane="bottomLeft" activeCell="A4" sqref="A4"/>
      <selection pane="bottomRight" activeCell="AL4" sqref="AL4:AL14"/>
    </sheetView>
  </sheetViews>
  <sheetFormatPr defaultRowHeight="15.75"/>
  <cols>
    <col min="1" max="1" width="22.140625" style="5" customWidth="1"/>
    <col min="2" max="2" width="39.5703125" style="6" customWidth="1"/>
    <col min="3" max="4" width="16" style="5" customWidth="1"/>
    <col min="5" max="5" width="20.140625" style="5" customWidth="1"/>
    <col min="6" max="6" width="18.85546875" style="5" customWidth="1"/>
    <col min="7" max="7" width="18.140625" style="5" customWidth="1"/>
    <col min="8" max="8" width="20" style="5" customWidth="1"/>
    <col min="9" max="9" width="21.28515625" style="5" customWidth="1"/>
    <col min="10" max="10" width="19.140625" style="5" customWidth="1"/>
    <col min="11" max="11" width="17.85546875" style="5" customWidth="1"/>
    <col min="12" max="12" width="16.28515625" style="5" customWidth="1"/>
    <col min="13" max="13" width="15.85546875" style="5" customWidth="1"/>
    <col min="14" max="14" width="18" style="5" customWidth="1"/>
    <col min="15" max="15" width="17" style="5" customWidth="1"/>
    <col min="16" max="17" width="18.42578125" style="5" customWidth="1"/>
    <col min="18" max="18" width="17.140625" style="5" customWidth="1"/>
    <col min="19" max="19" width="18.7109375" style="5" customWidth="1"/>
    <col min="20" max="20" width="17.42578125" style="5" customWidth="1"/>
    <col min="21" max="21" width="18.28515625" style="5" customWidth="1"/>
    <col min="22" max="22" width="18.140625" style="5" customWidth="1"/>
    <col min="23" max="23" width="16" style="5" customWidth="1"/>
    <col min="24" max="24" width="15.42578125" style="5" customWidth="1"/>
    <col min="25" max="25" width="16.85546875" style="5" customWidth="1"/>
    <col min="26" max="26" width="18.42578125" style="5" customWidth="1"/>
    <col min="27" max="27" width="16.85546875" style="5" customWidth="1"/>
    <col min="28" max="28" width="20.28515625" style="5" customWidth="1"/>
    <col min="29" max="29" width="13.42578125" style="5" customWidth="1"/>
    <col min="30" max="30" width="18" style="5" customWidth="1"/>
    <col min="31" max="31" width="13.42578125" style="5" customWidth="1"/>
    <col min="32" max="32" width="16.140625" style="5" customWidth="1"/>
    <col min="33" max="33" width="17.28515625" style="5" customWidth="1"/>
    <col min="34" max="34" width="13.5703125" style="5" customWidth="1"/>
    <col min="35" max="35" width="18.7109375" style="5" customWidth="1"/>
    <col min="36" max="36" width="15.42578125" style="5" customWidth="1"/>
    <col min="37" max="37" width="13.7109375" style="5" customWidth="1"/>
    <col min="38" max="38" width="15.42578125" style="5" customWidth="1"/>
    <col min="39" max="39" width="16.42578125" style="5" customWidth="1"/>
    <col min="40" max="40" width="17.7109375" style="5" customWidth="1"/>
    <col min="41" max="41" width="15" style="5" customWidth="1"/>
    <col min="42" max="42" width="17.140625" style="5" customWidth="1"/>
    <col min="43" max="43" width="15.7109375" style="5" customWidth="1"/>
    <col min="44" max="44" width="17" style="5" customWidth="1"/>
    <col min="45" max="45" width="18.42578125" style="5" customWidth="1"/>
    <col min="46" max="46" width="18.5703125" style="5" customWidth="1"/>
    <col min="47" max="47" width="17.7109375" style="5" customWidth="1"/>
    <col min="48" max="48" width="17.140625" style="5" customWidth="1"/>
    <col min="49" max="49" width="17.85546875" style="5" customWidth="1"/>
    <col min="50" max="50" width="13.7109375" style="5" customWidth="1"/>
    <col min="51" max="51" width="14" style="5" customWidth="1"/>
    <col min="52" max="52" width="15.5703125" style="5" customWidth="1"/>
    <col min="53" max="53" width="18.42578125" style="5" customWidth="1"/>
    <col min="54" max="54" width="15.140625" style="5" customWidth="1"/>
    <col min="55" max="55" width="15.42578125" style="5" customWidth="1"/>
    <col min="56" max="56" width="18.85546875" style="5" customWidth="1"/>
    <col min="57" max="57" width="15" style="5" customWidth="1"/>
    <col min="58" max="58" width="19" style="5" customWidth="1"/>
    <col min="59" max="59" width="17" style="5" customWidth="1"/>
    <col min="60" max="60" width="17.7109375" style="5" customWidth="1"/>
    <col min="61" max="61" width="16" style="5" customWidth="1"/>
    <col min="62" max="62" width="17" style="5" customWidth="1"/>
    <col min="63" max="63" width="16.85546875" style="5" customWidth="1"/>
    <col min="64" max="64" width="19.42578125" style="5" customWidth="1"/>
    <col min="65" max="65" width="17" style="5" customWidth="1"/>
    <col min="66" max="66" width="16.7109375" style="5" customWidth="1"/>
    <col min="67" max="67" width="16.140625" style="5" customWidth="1"/>
    <col min="68" max="68" width="18" style="5" customWidth="1"/>
    <col min="69" max="69" width="17.140625" style="5" customWidth="1"/>
    <col min="70" max="70" width="16.42578125" style="5" customWidth="1"/>
    <col min="71" max="71" width="15.7109375" style="5" customWidth="1"/>
    <col min="72" max="72" width="14" style="5" customWidth="1"/>
    <col min="73" max="73" width="14.5703125" style="5" customWidth="1"/>
    <col min="74" max="74" width="15.5703125" style="5" customWidth="1"/>
    <col min="75" max="75" width="13.42578125" style="5" customWidth="1"/>
    <col min="76" max="76" width="15.42578125" style="5" customWidth="1"/>
    <col min="77" max="77" width="17.42578125" style="5" customWidth="1"/>
    <col min="78" max="78" width="15.5703125" style="5" customWidth="1"/>
    <col min="79" max="79" width="17.5703125" style="5" customWidth="1"/>
    <col min="80" max="80" width="16.140625" style="5" customWidth="1"/>
    <col min="81" max="81" width="14.7109375" style="5" customWidth="1"/>
    <col min="82" max="82" width="16.85546875" style="5" customWidth="1"/>
    <col min="83" max="83" width="17" style="5" customWidth="1"/>
    <col min="84" max="84" width="15.140625" style="5" customWidth="1"/>
    <col min="85" max="85" width="16" style="5" customWidth="1"/>
    <col min="86" max="86" width="18.85546875" style="5" customWidth="1"/>
    <col min="87" max="87" width="9.140625" style="5"/>
    <col min="88" max="88" width="13.28515625" style="5" bestFit="1" customWidth="1"/>
    <col min="89" max="89" width="20.7109375" style="5" customWidth="1"/>
    <col min="90" max="16384" width="9.140625" style="5"/>
  </cols>
  <sheetData>
    <row r="1" spans="1:89" ht="69.75" customHeight="1">
      <c r="B1" s="384" t="s">
        <v>71</v>
      </c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  <c r="T1" s="384"/>
      <c r="U1" s="384"/>
      <c r="V1" s="384"/>
    </row>
    <row r="2" spans="1:89" ht="31.5" customHeight="1">
      <c r="B2" s="9"/>
      <c r="C2" s="381" t="s">
        <v>48</v>
      </c>
      <c r="D2" s="382"/>
      <c r="E2" s="382"/>
      <c r="F2" s="382"/>
      <c r="G2" s="383"/>
      <c r="H2" s="381" t="s">
        <v>49</v>
      </c>
      <c r="I2" s="382"/>
      <c r="J2" s="382"/>
      <c r="K2" s="382"/>
      <c r="L2" s="383"/>
      <c r="M2" s="381" t="s">
        <v>50</v>
      </c>
      <c r="N2" s="382"/>
      <c r="O2" s="382"/>
      <c r="P2" s="382"/>
      <c r="Q2" s="383"/>
      <c r="R2" s="381" t="s">
        <v>52</v>
      </c>
      <c r="S2" s="382"/>
      <c r="T2" s="382"/>
      <c r="U2" s="382"/>
      <c r="V2" s="383"/>
      <c r="W2" s="381" t="s">
        <v>53</v>
      </c>
      <c r="X2" s="382"/>
      <c r="Y2" s="382"/>
      <c r="Z2" s="382"/>
      <c r="AA2" s="383"/>
      <c r="AB2" s="381" t="s">
        <v>54</v>
      </c>
      <c r="AC2" s="382"/>
      <c r="AD2" s="382"/>
      <c r="AE2" s="382"/>
      <c r="AF2" s="383"/>
      <c r="AG2" s="381" t="s">
        <v>55</v>
      </c>
      <c r="AH2" s="382"/>
      <c r="AI2" s="382"/>
      <c r="AJ2" s="382"/>
      <c r="AK2" s="383"/>
      <c r="AL2" s="381" t="s">
        <v>56</v>
      </c>
      <c r="AM2" s="382"/>
      <c r="AN2" s="382"/>
      <c r="AO2" s="383"/>
      <c r="AP2" s="381" t="s">
        <v>57</v>
      </c>
      <c r="AQ2" s="382"/>
      <c r="AR2" s="382"/>
      <c r="AS2" s="382"/>
      <c r="AT2" s="383"/>
      <c r="AU2" s="381" t="s">
        <v>58</v>
      </c>
      <c r="AV2" s="382"/>
      <c r="AW2" s="382"/>
      <c r="AX2" s="382"/>
      <c r="AY2" s="383"/>
      <c r="AZ2" s="381" t="s">
        <v>59</v>
      </c>
      <c r="BA2" s="382"/>
      <c r="BB2" s="382"/>
      <c r="BC2" s="382"/>
      <c r="BD2" s="383"/>
      <c r="BE2" s="381" t="s">
        <v>60</v>
      </c>
      <c r="BF2" s="382"/>
      <c r="BG2" s="382"/>
      <c r="BH2" s="383"/>
      <c r="BI2" s="385" t="s">
        <v>47</v>
      </c>
      <c r="BJ2" s="385"/>
      <c r="BK2" s="385"/>
      <c r="BL2" s="385"/>
      <c r="BM2" s="385" t="s">
        <v>63</v>
      </c>
      <c r="BN2" s="385"/>
      <c r="BO2" s="385"/>
      <c r="BP2" s="381" t="s">
        <v>67</v>
      </c>
      <c r="BQ2" s="382"/>
      <c r="BR2" s="382"/>
      <c r="BS2" s="382"/>
      <c r="BT2" s="383"/>
      <c r="BU2" s="381" t="s">
        <v>68</v>
      </c>
      <c r="BV2" s="382"/>
      <c r="BW2" s="382"/>
      <c r="BX2" s="382"/>
      <c r="BY2" s="383"/>
      <c r="BZ2" s="381" t="s">
        <v>69</v>
      </c>
      <c r="CA2" s="382"/>
      <c r="CB2" s="382"/>
      <c r="CC2" s="382"/>
      <c r="CD2" s="383"/>
      <c r="CE2" s="381" t="s">
        <v>70</v>
      </c>
      <c r="CF2" s="382"/>
      <c r="CG2" s="382"/>
      <c r="CH2" s="383"/>
    </row>
    <row r="3" spans="1:89" ht="110.25">
      <c r="B3" s="94" t="s">
        <v>8</v>
      </c>
      <c r="C3" s="11" t="s">
        <v>19</v>
      </c>
      <c r="D3" s="3" t="s">
        <v>18</v>
      </c>
      <c r="E3" s="12" t="s">
        <v>17</v>
      </c>
      <c r="F3" s="4" t="s">
        <v>46</v>
      </c>
      <c r="G3" s="96" t="s">
        <v>45</v>
      </c>
      <c r="H3" s="11" t="s">
        <v>19</v>
      </c>
      <c r="I3" s="3" t="s">
        <v>18</v>
      </c>
      <c r="J3" s="12" t="s">
        <v>17</v>
      </c>
      <c r="K3" s="4" t="s">
        <v>46</v>
      </c>
      <c r="L3" s="96" t="s">
        <v>45</v>
      </c>
      <c r="M3" s="11" t="s">
        <v>19</v>
      </c>
      <c r="N3" s="3" t="s">
        <v>18</v>
      </c>
      <c r="O3" s="12" t="s">
        <v>17</v>
      </c>
      <c r="P3" s="4" t="s">
        <v>51</v>
      </c>
      <c r="Q3" s="97" t="s">
        <v>45</v>
      </c>
      <c r="R3" s="11" t="s">
        <v>19</v>
      </c>
      <c r="S3" s="3" t="s">
        <v>18</v>
      </c>
      <c r="T3" s="12" t="s">
        <v>17</v>
      </c>
      <c r="U3" s="4" t="s">
        <v>51</v>
      </c>
      <c r="V3" s="98" t="s">
        <v>45</v>
      </c>
      <c r="W3" s="11" t="s">
        <v>19</v>
      </c>
      <c r="X3" s="3" t="s">
        <v>18</v>
      </c>
      <c r="Y3" s="12" t="s">
        <v>17</v>
      </c>
      <c r="Z3" s="4" t="s">
        <v>51</v>
      </c>
      <c r="AA3" s="100" t="s">
        <v>45</v>
      </c>
      <c r="AB3" s="11" t="s">
        <v>19</v>
      </c>
      <c r="AC3" s="3" t="s">
        <v>18</v>
      </c>
      <c r="AD3" s="12" t="s">
        <v>17</v>
      </c>
      <c r="AE3" s="4" t="s">
        <v>51</v>
      </c>
      <c r="AF3" s="101" t="s">
        <v>45</v>
      </c>
      <c r="AG3" s="11" t="s">
        <v>19</v>
      </c>
      <c r="AH3" s="3" t="s">
        <v>18</v>
      </c>
      <c r="AI3" s="12" t="s">
        <v>17</v>
      </c>
      <c r="AJ3" s="4" t="s">
        <v>51</v>
      </c>
      <c r="AK3" s="102" t="s">
        <v>45</v>
      </c>
      <c r="AL3" s="11" t="s">
        <v>19</v>
      </c>
      <c r="AM3" s="3" t="s">
        <v>18</v>
      </c>
      <c r="AN3" s="12" t="s">
        <v>17</v>
      </c>
      <c r="AO3" s="103" t="s">
        <v>45</v>
      </c>
      <c r="AP3" s="11" t="s">
        <v>19</v>
      </c>
      <c r="AQ3" s="3" t="s">
        <v>18</v>
      </c>
      <c r="AR3" s="12" t="s">
        <v>17</v>
      </c>
      <c r="AS3" s="4" t="s">
        <v>51</v>
      </c>
      <c r="AT3" s="104" t="s">
        <v>45</v>
      </c>
      <c r="AU3" s="11" t="s">
        <v>19</v>
      </c>
      <c r="AV3" s="3" t="s">
        <v>18</v>
      </c>
      <c r="AW3" s="12" t="s">
        <v>17</v>
      </c>
      <c r="AX3" s="4" t="s">
        <v>51</v>
      </c>
      <c r="AY3" s="105" t="s">
        <v>45</v>
      </c>
      <c r="AZ3" s="11" t="s">
        <v>19</v>
      </c>
      <c r="BA3" s="3" t="s">
        <v>18</v>
      </c>
      <c r="BB3" s="12" t="s">
        <v>17</v>
      </c>
      <c r="BC3" s="4" t="s">
        <v>51</v>
      </c>
      <c r="BD3" s="106" t="s">
        <v>45</v>
      </c>
      <c r="BE3" s="11" t="s">
        <v>19</v>
      </c>
      <c r="BF3" s="3" t="s">
        <v>18</v>
      </c>
      <c r="BG3" s="12" t="s">
        <v>17</v>
      </c>
      <c r="BH3" s="107" t="s">
        <v>45</v>
      </c>
      <c r="BI3" s="90" t="s">
        <v>61</v>
      </c>
      <c r="BJ3" s="90" t="s">
        <v>62</v>
      </c>
      <c r="BK3" s="90" t="s">
        <v>17</v>
      </c>
      <c r="BL3" s="90" t="s">
        <v>27</v>
      </c>
      <c r="BM3" s="90" t="s">
        <v>64</v>
      </c>
      <c r="BN3" s="90" t="s">
        <v>65</v>
      </c>
      <c r="BO3" s="90" t="s">
        <v>66</v>
      </c>
      <c r="BP3" s="11" t="s">
        <v>19</v>
      </c>
      <c r="BQ3" s="3" t="s">
        <v>18</v>
      </c>
      <c r="BR3" s="12" t="s">
        <v>17</v>
      </c>
      <c r="BS3" s="4" t="s">
        <v>51</v>
      </c>
      <c r="BT3" s="108" t="s">
        <v>45</v>
      </c>
      <c r="BU3" s="11" t="s">
        <v>19</v>
      </c>
      <c r="BV3" s="3" t="s">
        <v>18</v>
      </c>
      <c r="BW3" s="12" t="s">
        <v>17</v>
      </c>
      <c r="BX3" s="4" t="s">
        <v>51</v>
      </c>
      <c r="BY3" s="108" t="s">
        <v>45</v>
      </c>
      <c r="BZ3" s="11" t="s">
        <v>19</v>
      </c>
      <c r="CA3" s="3" t="s">
        <v>18</v>
      </c>
      <c r="CB3" s="12" t="s">
        <v>17</v>
      </c>
      <c r="CC3" s="4" t="s">
        <v>51</v>
      </c>
      <c r="CD3" s="109" t="s">
        <v>45</v>
      </c>
      <c r="CE3" s="11" t="s">
        <v>19</v>
      </c>
      <c r="CF3" s="3" t="s">
        <v>18</v>
      </c>
      <c r="CG3" s="12" t="s">
        <v>17</v>
      </c>
      <c r="CH3" s="110" t="s">
        <v>45</v>
      </c>
    </row>
    <row r="4" spans="1:89" ht="48.75" customHeight="1" thickBot="1">
      <c r="A4" s="5" t="s">
        <v>23</v>
      </c>
      <c r="B4" s="7" t="s">
        <v>9</v>
      </c>
      <c r="C4" s="15">
        <f>34.951+24.516</f>
        <v>59.466999999999999</v>
      </c>
      <c r="D4" s="15">
        <f>85.008+91.623</f>
        <v>176.631</v>
      </c>
      <c r="E4" s="36">
        <f t="shared" ref="E4:E12" si="0">(D4/C4)*1.18</f>
        <v>3.5048779995627828</v>
      </c>
      <c r="F4" s="17">
        <v>93.112335351610668</v>
      </c>
      <c r="G4" s="17">
        <f>C4/$C$14*100</f>
        <v>8.5057417010482167E-2</v>
      </c>
      <c r="H4" s="15">
        <f>2.362+5.327</f>
        <v>7.6890000000000001</v>
      </c>
      <c r="I4" s="15">
        <f>5.745+19.909</f>
        <v>25.654</v>
      </c>
      <c r="J4" s="36">
        <f t="shared" ref="J4:J12" si="1">(I4/H4)*1.18</f>
        <v>3.9370165171023541</v>
      </c>
      <c r="K4" s="17">
        <f>J4/E4*100</f>
        <v>112.32963080579349</v>
      </c>
      <c r="L4" s="17">
        <f>H4/$H$14*100</f>
        <v>1.0314896525650669E-2</v>
      </c>
      <c r="M4" s="15">
        <f>2.362+5.325</f>
        <v>7.6870000000000003</v>
      </c>
      <c r="N4" s="15">
        <f>5.745+19.901</f>
        <v>25.646000000000001</v>
      </c>
      <c r="O4" s="36">
        <f t="shared" ref="O4:O12" si="2">(N4/M4)*1.18</f>
        <v>3.9368128008325747</v>
      </c>
      <c r="P4" s="17">
        <f>O4/J4*100</f>
        <v>99.994825618107157</v>
      </c>
      <c r="Q4" s="17">
        <f>M4/$M$14*100</f>
        <v>1.0531892061190744E-2</v>
      </c>
      <c r="R4" s="15">
        <f>96.741+6.41</f>
        <v>103.151</v>
      </c>
      <c r="S4" s="15">
        <f>235.294+23.956</f>
        <v>259.25</v>
      </c>
      <c r="T4" s="36">
        <f t="shared" ref="T4:T12" si="3">(S4/R4)*1.18</f>
        <v>2.9657007687758723</v>
      </c>
      <c r="U4" s="17">
        <f>T4/O4*100</f>
        <v>75.332532147545166</v>
      </c>
      <c r="V4" s="17">
        <f>R4/$R$14*100</f>
        <v>0.1498038322222639</v>
      </c>
      <c r="W4" s="15">
        <f>6.411+2.069</f>
        <v>8.48</v>
      </c>
      <c r="X4" s="15">
        <f>15.593+7.732</f>
        <v>23.324999999999999</v>
      </c>
      <c r="Y4" s="36">
        <f t="shared" ref="Y4:Y12" si="4">(X4/W4)*1.18</f>
        <v>3.2456957547169805</v>
      </c>
      <c r="Z4" s="17">
        <f>Y4/T4*100</f>
        <v>109.44110710321861</v>
      </c>
      <c r="AA4" s="17">
        <f>W4/$W$14*100</f>
        <v>1.2211276217901641E-2</v>
      </c>
      <c r="AB4" s="15">
        <f>2.956+3.44</f>
        <v>6.3959999999999999</v>
      </c>
      <c r="AC4" s="15">
        <f>7.19+12.856</f>
        <v>20.045999999999999</v>
      </c>
      <c r="AD4" s="36">
        <f t="shared" ref="AD4:AD12" si="5">(AC4/AB4)*1.18</f>
        <v>3.6982926829268292</v>
      </c>
      <c r="AE4" s="17">
        <f>AD4/Y4*100</f>
        <v>113.94452722662277</v>
      </c>
      <c r="AF4" s="17">
        <f>AB4/$AB$14*100</f>
        <v>9.8623175141667879E-3</v>
      </c>
      <c r="AG4" s="15">
        <f>20.104+36.004</f>
        <v>56.107999999999997</v>
      </c>
      <c r="AH4" s="15">
        <f>48.897+134.557</f>
        <v>183.45399999999998</v>
      </c>
      <c r="AI4" s="36">
        <f t="shared" ref="AI4:AI12" si="6">(AH4/AG4)*1.18</f>
        <v>3.8581970485492261</v>
      </c>
      <c r="AJ4" s="17">
        <f>AI4/AD4*100</f>
        <v>104.32373474280701</v>
      </c>
      <c r="AK4" s="17">
        <f>AG4/$AG$14*100</f>
        <v>7.8681436661219115E-2</v>
      </c>
      <c r="AL4" s="15">
        <f>H4+M4+R4+W4+AB4+AG4</f>
        <v>189.511</v>
      </c>
      <c r="AM4" s="15">
        <f>I4+N4+S4+X4+AC4+AH4</f>
        <v>537.375</v>
      </c>
      <c r="AN4" s="26">
        <f>(AM4/AL4)*1.18</f>
        <v>3.345993108579449</v>
      </c>
      <c r="AO4" s="17">
        <f>AL4/$AL$14*100</f>
        <v>4.4908335180471423E-2</v>
      </c>
      <c r="AP4" s="15">
        <f>16.266+25.662</f>
        <v>41.927999999999997</v>
      </c>
      <c r="AQ4" s="15">
        <f>42.457+104.17</f>
        <v>146.62700000000001</v>
      </c>
      <c r="AR4" s="36">
        <f t="shared" ref="AR4:AR12" si="7">(AQ4/AP4)*1.18</f>
        <v>4.1265946384277807</v>
      </c>
      <c r="AS4" s="17">
        <f t="shared" ref="AS4:AS14" si="8">AR4/AI4*100</f>
        <v>106.95655474568046</v>
      </c>
      <c r="AT4" s="17">
        <f>AP4/AP14*100</f>
        <v>5.3811874671825591E-2</v>
      </c>
      <c r="AU4" s="15">
        <f>44.179+37.841</f>
        <v>82.02000000000001</v>
      </c>
      <c r="AV4" s="15">
        <f>115.315+153.609</f>
        <v>268.92399999999998</v>
      </c>
      <c r="AW4" s="36">
        <f t="shared" ref="AW4:AW12" si="9">(AV4/AU4)*1.18</f>
        <v>3.8689383077298212</v>
      </c>
      <c r="AX4" s="17">
        <f>AW4/AR4*100</f>
        <v>93.756199644651176</v>
      </c>
      <c r="AY4" s="17">
        <f>AU4/AU14*100</f>
        <v>9.9161244816249827E-2</v>
      </c>
      <c r="AZ4" s="15">
        <f>24.928+30.442</f>
        <v>55.370000000000005</v>
      </c>
      <c r="BA4" s="15">
        <f>65.066+123.574</f>
        <v>188.64</v>
      </c>
      <c r="BB4" s="36">
        <f t="shared" ref="BB4:BB12" si="10">(BA4/AZ4)*1.18</f>
        <v>4.0201408705074941</v>
      </c>
      <c r="BC4" s="17">
        <f>BB4/AW4*100</f>
        <v>103.90811511456728</v>
      </c>
      <c r="BD4" s="17">
        <f>AZ4/AZ14*100</f>
        <v>7.0601822070198439E-2</v>
      </c>
      <c r="BE4" s="15">
        <f t="shared" ref="BE4:BF7" si="11">AL4+AP4+AU4+AZ4</f>
        <v>368.82900000000001</v>
      </c>
      <c r="BF4" s="15">
        <f t="shared" si="11"/>
        <v>1141.5659999999998</v>
      </c>
      <c r="BG4" s="36">
        <f t="shared" ref="BG4:BG12" si="12">(BF4/BE4)*1.18</f>
        <v>3.6522287564155738</v>
      </c>
      <c r="BH4" s="17">
        <f>BE4/BE14*100</f>
        <v>5.5794371549951816E-2</v>
      </c>
      <c r="BI4" s="15">
        <v>867.65059999999994</v>
      </c>
      <c r="BJ4" s="15">
        <v>2444.9180000000001</v>
      </c>
      <c r="BK4" s="36">
        <v>3.3250749091857945</v>
      </c>
      <c r="BL4" s="91">
        <v>0.12808684873606244</v>
      </c>
      <c r="BM4" s="17">
        <f>BE4/BI4*100</f>
        <v>42.508931590665647</v>
      </c>
      <c r="BN4" s="17">
        <f>BF4/BJ4*100</f>
        <v>46.691381878656038</v>
      </c>
      <c r="BO4" s="17">
        <f>BG4/BK4*100</f>
        <v>109.83899178710199</v>
      </c>
      <c r="BP4" s="15">
        <f>26.594+50.946</f>
        <v>77.539999999999992</v>
      </c>
      <c r="BQ4" s="15">
        <f>69.415+206.806</f>
        <v>276.221</v>
      </c>
      <c r="BR4" s="36">
        <f>(BQ4/BP4)*1.18</f>
        <v>4.2035179262316227</v>
      </c>
      <c r="BS4" s="91">
        <f>BR4/BB4*100</f>
        <v>104.5614584570759</v>
      </c>
      <c r="BT4" s="91">
        <f>BP4/BP14*100</f>
        <v>0.10497581291745114</v>
      </c>
      <c r="BU4" s="15">
        <f>34.986+44.529</f>
        <v>79.515000000000001</v>
      </c>
      <c r="BV4" s="15">
        <f>91.319+180.758</f>
        <v>272.077</v>
      </c>
      <c r="BW4" s="36">
        <f>(BV4/BU4)*1.18</f>
        <v>4.0376137835628496</v>
      </c>
      <c r="BX4" s="91">
        <f>BW4/BG4*100</f>
        <v>110.55205062033153</v>
      </c>
      <c r="BY4" s="91">
        <f>BU4/BU14*100</f>
        <v>0.11017800020451829</v>
      </c>
      <c r="BZ4" s="15">
        <f>24.823+66.352</f>
        <v>91.175000000000011</v>
      </c>
      <c r="CA4" s="15">
        <f>64.792+269.344</f>
        <v>334.13599999999997</v>
      </c>
      <c r="CB4" s="36">
        <f>(CA4/BZ4)*1.18</f>
        <v>4.3244363038113507</v>
      </c>
      <c r="CC4" s="91">
        <f>CB4/BW4*100</f>
        <v>107.10376315377556</v>
      </c>
      <c r="CD4" s="91">
        <f>BZ4/BZ14*100</f>
        <v>0.11466242903002441</v>
      </c>
      <c r="CE4" s="15">
        <f>BP4+BU4+BZ4</f>
        <v>248.23000000000002</v>
      </c>
      <c r="CF4" s="15">
        <f>BQ4+BV4+CA4</f>
        <v>882.43399999999997</v>
      </c>
      <c r="CG4" s="28">
        <f>(CF4/CE4)*1.18</f>
        <v>4.1947875760383511</v>
      </c>
      <c r="CH4" s="91">
        <f>CE4/CE14*100</f>
        <v>0.11005530590582319</v>
      </c>
      <c r="CJ4" s="34">
        <f>BE4+CE4</f>
        <v>617.05899999999997</v>
      </c>
      <c r="CK4" s="34">
        <f>BF4+CF4</f>
        <v>2023.9999999999998</v>
      </c>
    </row>
    <row r="5" spans="1:89" ht="76.5" customHeight="1" thickBot="1">
      <c r="A5" s="13" t="s">
        <v>24</v>
      </c>
      <c r="B5" s="2" t="s">
        <v>21</v>
      </c>
      <c r="C5" s="37">
        <v>38224.582000000002</v>
      </c>
      <c r="D5" s="37">
        <v>130870.609</v>
      </c>
      <c r="E5" s="26">
        <f t="shared" si="0"/>
        <v>4.0400001920230277</v>
      </c>
      <c r="F5" s="17">
        <v>100.00000229972731</v>
      </c>
      <c r="G5" s="17">
        <f>C5/$C$14*100</f>
        <v>54.673755380721587</v>
      </c>
      <c r="H5" s="37">
        <v>40507.862999999998</v>
      </c>
      <c r="I5" s="37">
        <v>138687.94200000001</v>
      </c>
      <c r="J5" s="26">
        <f t="shared" si="1"/>
        <v>4.0400001244202883</v>
      </c>
      <c r="K5" s="17">
        <f t="shared" ref="K5:K14" si="13">J5/E5*100</f>
        <v>99.999998326664937</v>
      </c>
      <c r="L5" s="17">
        <f>H5/$H$14*100</f>
        <v>54.341840983253121</v>
      </c>
      <c r="M5" s="37">
        <v>39537.273999999998</v>
      </c>
      <c r="N5" s="37">
        <v>135364.90900000001</v>
      </c>
      <c r="O5" s="26">
        <f t="shared" si="2"/>
        <v>4.0400001431560515</v>
      </c>
      <c r="P5" s="17">
        <f t="shared" ref="P5:P14" si="14">O5/J5*100</f>
        <v>100.00000046375649</v>
      </c>
      <c r="Q5" s="17">
        <f>M5/$M$14*100</f>
        <v>54.169676357710841</v>
      </c>
      <c r="R5" s="37">
        <v>32637.326000000001</v>
      </c>
      <c r="S5" s="37">
        <v>111741.359</v>
      </c>
      <c r="T5" s="26">
        <f t="shared" si="3"/>
        <v>4.0400002016096535</v>
      </c>
      <c r="U5" s="17">
        <f t="shared" ref="U5:U14" si="15">T5/O5*100</f>
        <v>100.00000144687129</v>
      </c>
      <c r="V5" s="17">
        <f t="shared" ref="V5:V8" si="16">R5/$R$14*100</f>
        <v>47.398440231188566</v>
      </c>
      <c r="W5" s="37">
        <v>40101.724000000002</v>
      </c>
      <c r="X5" s="37">
        <v>137297.435</v>
      </c>
      <c r="Y5" s="26">
        <f t="shared" si="4"/>
        <v>4.0400002079711079</v>
      </c>
      <c r="Z5" s="17">
        <f t="shared" ref="Z5:Z14" si="17">Y5/T5*100</f>
        <v>100.00000015746173</v>
      </c>
      <c r="AA5" s="17">
        <f t="shared" ref="AA5:AA8" si="18">W5/$W$14*100</f>
        <v>57.746842992695221</v>
      </c>
      <c r="AB5" s="37">
        <v>38825.112999999998</v>
      </c>
      <c r="AC5" s="37">
        <v>132926.66</v>
      </c>
      <c r="AD5" s="26">
        <f t="shared" si="5"/>
        <v>4.0400000587248774</v>
      </c>
      <c r="AE5" s="17">
        <f t="shared" ref="AE5:AE14" si="19">AD5/Y5*100</f>
        <v>99.999996305786567</v>
      </c>
      <c r="AF5" s="17">
        <f t="shared" ref="AF5:AF8" si="20">AB5/$AB$14*100</f>
        <v>59.866415248499791</v>
      </c>
      <c r="AG5" s="37">
        <v>41656.572999999997</v>
      </c>
      <c r="AH5" s="37">
        <v>142620.81099999999</v>
      </c>
      <c r="AI5" s="26">
        <f t="shared" si="6"/>
        <v>4.0400000494519794</v>
      </c>
      <c r="AJ5" s="17">
        <f t="shared" ref="AJ5:AJ14" si="21">AI5/AD5*100</f>
        <v>99.999999770472826</v>
      </c>
      <c r="AK5" s="17">
        <f t="shared" ref="AK5:AK8" si="22">AG5/$AG$14*100</f>
        <v>58.415894525253975</v>
      </c>
      <c r="AL5" s="15">
        <f t="shared" ref="AL5:AL13" si="23">H5+M5+R5+W5+AB5+AG5</f>
        <v>233265.87299999999</v>
      </c>
      <c r="AM5" s="15">
        <f t="shared" ref="AM5:AM13" si="24">I5+N5+S5+X5+AC5+AH5</f>
        <v>798639.11600000004</v>
      </c>
      <c r="AN5" s="26">
        <f t="shared" ref="AN5:AN14" si="25">(AM5/AL5)*1.18</f>
        <v>4.040000128437133</v>
      </c>
      <c r="AO5" s="17">
        <f>AL5/$AL$14*100</f>
        <v>55.276907466317418</v>
      </c>
      <c r="AP5" s="37">
        <v>47195.625999999997</v>
      </c>
      <c r="AQ5" s="37">
        <v>173583.95499999999</v>
      </c>
      <c r="AR5" s="26">
        <f t="shared" si="7"/>
        <v>4.340001060691514</v>
      </c>
      <c r="AS5" s="17">
        <f t="shared" si="8"/>
        <v>107.4257675140432</v>
      </c>
      <c r="AT5" s="17">
        <f>AP5/AP14*100</f>
        <v>60.572531753729088</v>
      </c>
      <c r="AU5" s="37">
        <v>49855.071000000004</v>
      </c>
      <c r="AV5" s="37">
        <v>183365.304</v>
      </c>
      <c r="AW5" s="26">
        <f t="shared" si="9"/>
        <v>4.3400010145407268</v>
      </c>
      <c r="AX5" s="17">
        <f t="shared" ref="AX5:AX14" si="26">AW5/AR5*100</f>
        <v>99.999998936618056</v>
      </c>
      <c r="AY5" s="17">
        <f>AU5/AU14*100</f>
        <v>60.274212396519346</v>
      </c>
      <c r="AZ5" s="37">
        <v>47226.896999999997</v>
      </c>
      <c r="BA5" s="37">
        <v>173698.96900000001</v>
      </c>
      <c r="BB5" s="26">
        <f t="shared" si="10"/>
        <v>4.3400010680354466</v>
      </c>
      <c r="BC5" s="17">
        <f t="shared" ref="BC5:BC14" si="27">BB5/AW5*100</f>
        <v>100.00000123259693</v>
      </c>
      <c r="BD5" s="17">
        <f>AZ5/AZ14*100</f>
        <v>60.218619810756515</v>
      </c>
      <c r="BE5" s="15">
        <f t="shared" si="11"/>
        <v>377543.467</v>
      </c>
      <c r="BF5" s="15">
        <f t="shared" si="11"/>
        <v>1329287.344</v>
      </c>
      <c r="BG5" s="26">
        <f t="shared" si="12"/>
        <v>4.1546449694493059</v>
      </c>
      <c r="BH5" s="17">
        <f>BE5/BE14*100</f>
        <v>57.112646982897139</v>
      </c>
      <c r="BI5" s="15">
        <v>404432.73600000003</v>
      </c>
      <c r="BJ5" s="15">
        <v>1324341.713</v>
      </c>
      <c r="BK5" s="26">
        <v>3.863987957048066</v>
      </c>
      <c r="BL5" s="91">
        <v>59.704349515742727</v>
      </c>
      <c r="BM5" s="17">
        <f t="shared" ref="BM5:BM14" si="28">BE5/BI5*100</f>
        <v>93.351361893711783</v>
      </c>
      <c r="BN5" s="17">
        <f t="shared" ref="BN5:BN14" si="29">BF5/BJ5*100</f>
        <v>100.3734407027622</v>
      </c>
      <c r="BO5" s="17">
        <f t="shared" ref="BO5:BO14" si="30">BG5/BK5*100</f>
        <v>107.52220285446465</v>
      </c>
      <c r="BP5" s="15">
        <v>41873.24</v>
      </c>
      <c r="BQ5" s="15">
        <v>154008.39199999999</v>
      </c>
      <c r="BR5" s="26">
        <f t="shared" ref="BR5:BR14" si="31">(BQ5/BP5)*1.18</f>
        <v>4.3400009781903668</v>
      </c>
      <c r="BS5" s="91">
        <f t="shared" ref="BS5:BS14" si="32">BR5/BB5*100</f>
        <v>99.999997929837377</v>
      </c>
      <c r="BT5" s="91">
        <f>BP5/BP14*100</f>
        <v>56.689159253127826</v>
      </c>
      <c r="BU5" s="15">
        <v>42855.127</v>
      </c>
      <c r="BV5" s="15">
        <v>157619.745</v>
      </c>
      <c r="BW5" s="26">
        <f t="shared" ref="BW5:BW14" si="33">(BV5/BU5)*1.18</f>
        <v>4.3400011181859286</v>
      </c>
      <c r="BX5" s="91">
        <f t="shared" ref="BX5:BX14" si="34">BW5/BG5*100</f>
        <v>104.46141969048179</v>
      </c>
      <c r="BY5" s="91">
        <f>BU5/BU14*100</f>
        <v>59.381150617753356</v>
      </c>
      <c r="BZ5" s="15">
        <f>43026.407</f>
        <v>43026.406999999999</v>
      </c>
      <c r="CA5" s="15">
        <v>158249.70600000001</v>
      </c>
      <c r="CB5" s="26">
        <f t="shared" ref="CB5:CB14" si="35">(CA5/BZ5)*1.18</f>
        <v>4.3400010853799627</v>
      </c>
      <c r="CC5" s="91">
        <f t="shared" ref="CC5:CC14" si="36">CB5/BW5*100</f>
        <v>99.999999244102369</v>
      </c>
      <c r="CD5" s="91">
        <f>BZ5/BZ14*100</f>
        <v>54.110362918063551</v>
      </c>
      <c r="CE5" s="15">
        <f t="shared" ref="CE5:CE8" si="37">BP5+BU5+BZ5</f>
        <v>127754.774</v>
      </c>
      <c r="CF5" s="15">
        <f t="shared" ref="CF5:CF8" si="38">BQ5+BV5+CA5</f>
        <v>469877.84299999999</v>
      </c>
      <c r="CG5" s="28">
        <f t="shared" ref="CG5:CG14" si="39">(CF5/CE5)*1.18</f>
        <v>4.3400010612519253</v>
      </c>
      <c r="CH5" s="92">
        <f>CE5/CE14*100</f>
        <v>56.641383932237467</v>
      </c>
      <c r="CJ5" s="34">
        <f t="shared" ref="CJ5:CJ14" si="40">BE5+CE5</f>
        <v>505298.24100000004</v>
      </c>
      <c r="CK5" s="34">
        <f t="shared" ref="CK5:CK14" si="41">BF5+CF5</f>
        <v>1799165.1869999999</v>
      </c>
    </row>
    <row r="6" spans="1:89" ht="79.5" customHeight="1" thickBot="1">
      <c r="A6" s="13" t="s">
        <v>25</v>
      </c>
      <c r="B6" s="7" t="s">
        <v>1</v>
      </c>
      <c r="C6" s="16">
        <v>2698.8789999999999</v>
      </c>
      <c r="D6" s="27">
        <v>6472.7349999999997</v>
      </c>
      <c r="E6" s="28">
        <f t="shared" si="0"/>
        <v>2.8299998999584641</v>
      </c>
      <c r="F6" s="17">
        <v>99.999993286697915</v>
      </c>
      <c r="G6" s="17">
        <f>C6/$C$14*100</f>
        <v>3.8602868240172379</v>
      </c>
      <c r="H6" s="16">
        <v>3200.277</v>
      </c>
      <c r="I6" s="27">
        <v>7675.241</v>
      </c>
      <c r="J6" s="28">
        <f t="shared" si="1"/>
        <v>2.8300001468622873</v>
      </c>
      <c r="K6" s="17">
        <f t="shared" si="13"/>
        <v>100.00000872451702</v>
      </c>
      <c r="L6" s="17">
        <f>H6/$H$14*100</f>
        <v>4.2932144763193847</v>
      </c>
      <c r="M6" s="16">
        <v>2785.7280000000001</v>
      </c>
      <c r="N6" s="27">
        <v>6681.0259999999998</v>
      </c>
      <c r="O6" s="28">
        <f t="shared" si="2"/>
        <v>2.8300001579479401</v>
      </c>
      <c r="P6" s="17">
        <f t="shared" si="14"/>
        <v>100.00000039171917</v>
      </c>
      <c r="Q6" s="17">
        <f>M6/$M$14*100</f>
        <v>3.816701783249222</v>
      </c>
      <c r="R6" s="16">
        <v>2094.5140000000001</v>
      </c>
      <c r="S6" s="27">
        <v>5023.2839999999997</v>
      </c>
      <c r="T6" s="28">
        <f t="shared" si="3"/>
        <v>2.8300002387188625</v>
      </c>
      <c r="U6" s="17">
        <f t="shared" si="15"/>
        <v>100.00000285409605</v>
      </c>
      <c r="V6" s="17">
        <f t="shared" si="16"/>
        <v>3.0418146585411958</v>
      </c>
      <c r="W6" s="16">
        <v>2005.43</v>
      </c>
      <c r="X6" s="27">
        <v>4809.6329999999998</v>
      </c>
      <c r="Y6" s="28">
        <f t="shared" si="4"/>
        <v>2.8300000199458464</v>
      </c>
      <c r="Z6" s="17">
        <f t="shared" si="17"/>
        <v>99.999992269505384</v>
      </c>
      <c r="AA6" s="17">
        <f t="shared" si="18"/>
        <v>2.8878372247248221</v>
      </c>
      <c r="AB6" s="16">
        <v>1781.222</v>
      </c>
      <c r="AC6" s="27">
        <v>4271.9139999999998</v>
      </c>
      <c r="AD6" s="28">
        <f t="shared" si="5"/>
        <v>2.8300001459672064</v>
      </c>
      <c r="AE6" s="17">
        <f t="shared" si="19"/>
        <v>100.00000445305155</v>
      </c>
      <c r="AF6" s="17">
        <f t="shared" si="20"/>
        <v>2.7465567428422757</v>
      </c>
      <c r="AG6" s="16">
        <v>1919.8009999999999</v>
      </c>
      <c r="AH6" s="27">
        <v>4604.2690000000002</v>
      </c>
      <c r="AI6" s="28">
        <f t="shared" si="6"/>
        <v>2.8300003073235196</v>
      </c>
      <c r="AJ6" s="17">
        <f t="shared" si="21"/>
        <v>100.00000570163621</v>
      </c>
      <c r="AK6" s="17">
        <f t="shared" si="22"/>
        <v>2.6921776000507078</v>
      </c>
      <c r="AL6" s="15">
        <f t="shared" si="23"/>
        <v>13786.972</v>
      </c>
      <c r="AM6" s="15">
        <f t="shared" si="24"/>
        <v>33065.366999999998</v>
      </c>
      <c r="AN6" s="26">
        <f t="shared" si="25"/>
        <v>2.8300001668241586</v>
      </c>
      <c r="AO6" s="17">
        <f>AL6/$AL$14*100</f>
        <v>3.2670924627054601</v>
      </c>
      <c r="AP6" s="16">
        <v>3077.8090000000002</v>
      </c>
      <c r="AQ6" s="27">
        <v>7929.2709999999997</v>
      </c>
      <c r="AR6" s="28">
        <f t="shared" si="7"/>
        <v>3.040000136460709</v>
      </c>
      <c r="AS6" s="17">
        <f t="shared" si="8"/>
        <v>107.42048785626449</v>
      </c>
      <c r="AT6" s="17">
        <f>AP6/AP14*100</f>
        <v>3.9501686741990283</v>
      </c>
      <c r="AU6" s="16">
        <v>3634.3589999999999</v>
      </c>
      <c r="AV6" s="27">
        <v>9363.0949999999993</v>
      </c>
      <c r="AW6" s="28">
        <f t="shared" si="9"/>
        <v>3.0400002036122462</v>
      </c>
      <c r="AX6" s="17">
        <f t="shared" si="26"/>
        <v>100.00000220893203</v>
      </c>
      <c r="AY6" s="17">
        <f>AU6/AU14*100</f>
        <v>4.3938985924060088</v>
      </c>
      <c r="AZ6" s="16">
        <v>2935.1480000000001</v>
      </c>
      <c r="BA6" s="27">
        <v>7561.7380000000003</v>
      </c>
      <c r="BB6" s="28">
        <f t="shared" si="10"/>
        <v>3.0400003134424565</v>
      </c>
      <c r="BC6" s="17">
        <f t="shared" si="27"/>
        <v>100.00000361283563</v>
      </c>
      <c r="BD6" s="17">
        <f>AZ6/AZ14*100</f>
        <v>3.7425825690030488</v>
      </c>
      <c r="BE6" s="15">
        <f t="shared" si="11"/>
        <v>23434.288</v>
      </c>
      <c r="BF6" s="15">
        <f t="shared" si="11"/>
        <v>57919.470999999998</v>
      </c>
      <c r="BG6" s="28">
        <f t="shared" si="12"/>
        <v>2.9164519860812494</v>
      </c>
      <c r="BH6" s="17">
        <f>BE6/BE14*100</f>
        <v>3.5450069589988238</v>
      </c>
      <c r="BI6" s="15">
        <v>19147.813000000002</v>
      </c>
      <c r="BJ6" s="15">
        <v>43895.329999999994</v>
      </c>
      <c r="BK6" s="28">
        <v>2.70508644512039</v>
      </c>
      <c r="BL6" s="91">
        <v>2.826694325293396</v>
      </c>
      <c r="BM6" s="17">
        <f t="shared" si="28"/>
        <v>122.38623805235616</v>
      </c>
      <c r="BN6" s="17">
        <f t="shared" si="29"/>
        <v>131.9490501609169</v>
      </c>
      <c r="BO6" s="17">
        <f t="shared" si="30"/>
        <v>107.81363351038686</v>
      </c>
      <c r="BP6" s="15">
        <v>2401.0419999999999</v>
      </c>
      <c r="BQ6" s="15">
        <v>6185.7359999999999</v>
      </c>
      <c r="BR6" s="28">
        <f t="shared" si="31"/>
        <v>3.040000333188674</v>
      </c>
      <c r="BS6" s="91">
        <f t="shared" si="32"/>
        <v>100.00000064954658</v>
      </c>
      <c r="BT6" s="91">
        <f>BP6/BP14*100</f>
        <v>3.2505975728519827</v>
      </c>
      <c r="BU6" s="15">
        <v>2970.377</v>
      </c>
      <c r="BV6" s="15">
        <v>7652.4970000000003</v>
      </c>
      <c r="BW6" s="28">
        <f t="shared" si="33"/>
        <v>3.0400001279298889</v>
      </c>
      <c r="BX6" s="91">
        <f t="shared" si="34"/>
        <v>104.2362481000295</v>
      </c>
      <c r="BY6" s="91">
        <f>BU6/BU14*100</f>
        <v>4.1158296889077084</v>
      </c>
      <c r="BZ6" s="15">
        <v>2594.0149999999999</v>
      </c>
      <c r="CA6" s="15">
        <v>6682.8860000000004</v>
      </c>
      <c r="CB6" s="28">
        <f t="shared" si="35"/>
        <v>3.0399999537396662</v>
      </c>
      <c r="CC6" s="91">
        <f t="shared" si="36"/>
        <v>99.999994270058707</v>
      </c>
      <c r="CD6" s="91">
        <f>BZ6/BZ14*100</f>
        <v>3.2622545746127636</v>
      </c>
      <c r="CE6" s="15">
        <f t="shared" si="37"/>
        <v>7965.4339999999993</v>
      </c>
      <c r="CF6" s="15">
        <f t="shared" si="38"/>
        <v>20521.118999999999</v>
      </c>
      <c r="CG6" s="28">
        <f t="shared" si="39"/>
        <v>3.040000133074984</v>
      </c>
      <c r="CH6" s="92">
        <f>CE6/CE14*100</f>
        <v>3.5315565223488083</v>
      </c>
      <c r="CJ6" s="34">
        <f t="shared" si="40"/>
        <v>31399.722000000002</v>
      </c>
      <c r="CK6" s="34">
        <f t="shared" si="41"/>
        <v>78440.59</v>
      </c>
    </row>
    <row r="7" spans="1:89" ht="32.25" customHeight="1">
      <c r="B7" s="7" t="s">
        <v>2</v>
      </c>
      <c r="C7" s="15">
        <v>27391.741000000002</v>
      </c>
      <c r="D7" s="15">
        <v>65693.751999999993</v>
      </c>
      <c r="E7" s="30">
        <f t="shared" si="0"/>
        <v>2.8300000120474267</v>
      </c>
      <c r="F7" s="17">
        <v>100.0000003402405</v>
      </c>
      <c r="G7" s="17">
        <f>C7/$C$14*100</f>
        <v>39.179221028135302</v>
      </c>
      <c r="H7" s="15">
        <v>28838.513999999999</v>
      </c>
      <c r="I7" s="15">
        <v>69163.554999999993</v>
      </c>
      <c r="J7" s="30">
        <f t="shared" si="1"/>
        <v>2.8300000097092379</v>
      </c>
      <c r="K7" s="17">
        <f t="shared" si="13"/>
        <v>99.999999917378489</v>
      </c>
      <c r="L7" s="17">
        <f>H7/$H$14*100</f>
        <v>38.687252941023303</v>
      </c>
      <c r="M7" s="15">
        <v>28496.611000000001</v>
      </c>
      <c r="N7" s="15">
        <v>68343.566999999995</v>
      </c>
      <c r="O7" s="30">
        <f t="shared" si="2"/>
        <v>2.8299999975435672</v>
      </c>
      <c r="P7" s="17">
        <f t="shared" si="14"/>
        <v>99.999999570117652</v>
      </c>
      <c r="Q7" s="17">
        <f>M7/$M$14*100</f>
        <v>39.042959693214627</v>
      </c>
      <c r="R7" s="15">
        <v>32388.684000000001</v>
      </c>
      <c r="S7" s="15">
        <v>77677.942999999999</v>
      </c>
      <c r="T7" s="30">
        <f t="shared" si="3"/>
        <v>2.8299999079925566</v>
      </c>
      <c r="U7" s="17">
        <f t="shared" si="15"/>
        <v>99.999996835653334</v>
      </c>
      <c r="V7" s="17">
        <f t="shared" si="16"/>
        <v>47.037343155528532</v>
      </c>
      <c r="W7" s="15">
        <v>25497.241999999998</v>
      </c>
      <c r="X7" s="15">
        <v>61150.163</v>
      </c>
      <c r="Y7" s="30">
        <f t="shared" si="4"/>
        <v>2.829999901165781</v>
      </c>
      <c r="Z7" s="17">
        <f t="shared" si="17"/>
        <v>99.999999758771168</v>
      </c>
      <c r="AA7" s="17">
        <f t="shared" si="18"/>
        <v>36.716257648193732</v>
      </c>
      <c r="AB7" s="15">
        <v>22439.476999999999</v>
      </c>
      <c r="AC7" s="15">
        <v>53816.712</v>
      </c>
      <c r="AD7" s="30">
        <f t="shared" si="5"/>
        <v>2.8300000111410797</v>
      </c>
      <c r="AE7" s="17">
        <f t="shared" si="19"/>
        <v>100.00000388605311</v>
      </c>
      <c r="AF7" s="17">
        <f t="shared" si="20"/>
        <v>34.600570204165543</v>
      </c>
      <c r="AG7" s="15">
        <v>22992.07</v>
      </c>
      <c r="AH7" s="15">
        <v>55141.999000000003</v>
      </c>
      <c r="AI7" s="30">
        <f t="shared" si="6"/>
        <v>2.8300000313151448</v>
      </c>
      <c r="AJ7" s="17">
        <f t="shared" si="21"/>
        <v>100.00000071286448</v>
      </c>
      <c r="AK7" s="17">
        <f t="shared" si="22"/>
        <v>32.242266689515155</v>
      </c>
      <c r="AL7" s="15">
        <f t="shared" si="23"/>
        <v>160652.598</v>
      </c>
      <c r="AM7" s="15">
        <f t="shared" si="24"/>
        <v>385293.93900000001</v>
      </c>
      <c r="AN7" s="26">
        <f t="shared" si="25"/>
        <v>2.8299999731096785</v>
      </c>
      <c r="AO7" s="17">
        <f>AL7/$AL$14*100</f>
        <v>38.069772829004819</v>
      </c>
      <c r="AP7" s="15">
        <v>25019.805</v>
      </c>
      <c r="AQ7" s="15">
        <v>64457.824999999997</v>
      </c>
      <c r="AR7" s="30">
        <f t="shared" si="7"/>
        <v>3.0400010511672648</v>
      </c>
      <c r="AS7" s="17">
        <f t="shared" si="8"/>
        <v>107.42053065471273</v>
      </c>
      <c r="AT7" s="17">
        <f>AP7/AP14*100</f>
        <v>32.111300586088419</v>
      </c>
      <c r="AU7" s="15">
        <v>26225.576000000001</v>
      </c>
      <c r="AV7" s="15">
        <v>67564.22</v>
      </c>
      <c r="AW7" s="30">
        <f t="shared" si="9"/>
        <v>3.0400010890132592</v>
      </c>
      <c r="AX7" s="17">
        <f t="shared" si="26"/>
        <v>100.0000012449336</v>
      </c>
      <c r="AY7" s="17">
        <f>AU7/AU14*100</f>
        <v>31.706422362633084</v>
      </c>
      <c r="AZ7" s="15">
        <v>26076.601999999999</v>
      </c>
      <c r="BA7" s="15">
        <v>67180.421000000002</v>
      </c>
      <c r="BB7" s="30">
        <f t="shared" si="10"/>
        <v>3.0400010239064121</v>
      </c>
      <c r="BC7" s="17">
        <f t="shared" si="27"/>
        <v>99.999997858328172</v>
      </c>
      <c r="BD7" s="17">
        <f>AZ7/AZ14*100</f>
        <v>33.250056250666077</v>
      </c>
      <c r="BE7" s="15">
        <f t="shared" si="11"/>
        <v>237974.58100000001</v>
      </c>
      <c r="BF7" s="15">
        <f t="shared" si="11"/>
        <v>584496.40500000003</v>
      </c>
      <c r="BG7" s="30">
        <f t="shared" si="12"/>
        <v>2.8982328911002471</v>
      </c>
      <c r="BH7" s="17">
        <f>BE7/BE14*100</f>
        <v>35.999452840633744</v>
      </c>
      <c r="BI7" s="15">
        <v>232059.13799999998</v>
      </c>
      <c r="BJ7" s="15">
        <v>530149.40399999998</v>
      </c>
      <c r="BK7" s="30">
        <v>2.6957623910505086</v>
      </c>
      <c r="BL7" s="91">
        <v>34.257711234023283</v>
      </c>
      <c r="BM7" s="17">
        <f t="shared" si="28"/>
        <v>102.5491101324353</v>
      </c>
      <c r="BN7" s="17">
        <f t="shared" si="29"/>
        <v>110.25126135952424</v>
      </c>
      <c r="BO7" s="17">
        <f t="shared" si="30"/>
        <v>107.51069533138038</v>
      </c>
      <c r="BP7" s="15">
        <v>27236.09</v>
      </c>
      <c r="BQ7" s="15">
        <v>70167.577999999994</v>
      </c>
      <c r="BR7" s="30">
        <f t="shared" si="31"/>
        <v>3.0400010442027465</v>
      </c>
      <c r="BS7" s="91">
        <f t="shared" si="32"/>
        <v>100.00000066764237</v>
      </c>
      <c r="BT7" s="91">
        <f>BP7/BP14*100</f>
        <v>36.872977668853004</v>
      </c>
      <c r="BU7" s="15">
        <v>24108.311000000002</v>
      </c>
      <c r="BV7" s="15">
        <v>62109.569000000003</v>
      </c>
      <c r="BW7" s="30">
        <f t="shared" si="33"/>
        <v>3.0400010776366702</v>
      </c>
      <c r="BX7" s="91">
        <f t="shared" si="34"/>
        <v>104.89153880530988</v>
      </c>
      <c r="BY7" s="91">
        <f>BU7/BU14*100</f>
        <v>33.405087018658001</v>
      </c>
      <c r="BZ7" s="15">
        <v>30358.713</v>
      </c>
      <c r="CA7" s="15">
        <v>78169.546000000002</v>
      </c>
      <c r="CB7" s="30">
        <f t="shared" si="35"/>
        <v>3.0383390850593699</v>
      </c>
      <c r="CC7" s="91">
        <f t="shared" si="36"/>
        <v>99.945329210916185</v>
      </c>
      <c r="CD7" s="91">
        <f>BZ7/BZ14*100</f>
        <v>38.179366874750521</v>
      </c>
      <c r="CE7" s="15">
        <f t="shared" si="37"/>
        <v>81703.114000000001</v>
      </c>
      <c r="CF7" s="15">
        <f t="shared" si="38"/>
        <v>210446.693</v>
      </c>
      <c r="CG7" s="28">
        <f t="shared" si="39"/>
        <v>3.0393835140726706</v>
      </c>
      <c r="CH7" s="92">
        <f>CE7/CE14*100</f>
        <v>36.223910102438644</v>
      </c>
      <c r="CJ7" s="34">
        <f t="shared" si="40"/>
        <v>319677.69500000001</v>
      </c>
      <c r="CK7" s="34">
        <f t="shared" si="41"/>
        <v>794943.098</v>
      </c>
    </row>
    <row r="8" spans="1:89" ht="30.75" customHeight="1">
      <c r="A8" s="5">
        <f>BP9+BP10+BP11+BP12+BP13</f>
        <v>2276.7220000000002</v>
      </c>
      <c r="B8" s="8" t="s">
        <v>22</v>
      </c>
      <c r="C8" s="15">
        <f>C9+C10+C11+C12+C13</f>
        <v>1539.2809999999999</v>
      </c>
      <c r="D8" s="15">
        <f>D9+D10+D11+D12+D13</f>
        <v>5270.08</v>
      </c>
      <c r="E8" s="29">
        <f t="shared" si="0"/>
        <v>4.0399994542906725</v>
      </c>
      <c r="F8" s="17">
        <v>99.999951653076096</v>
      </c>
      <c r="G8" s="17">
        <f>C8/$C$14*100</f>
        <v>2.2016793501153922</v>
      </c>
      <c r="H8" s="15">
        <v>1988.3340000000001</v>
      </c>
      <c r="I8" s="15">
        <v>6807.5159999999996</v>
      </c>
      <c r="J8" s="29">
        <f t="shared" si="1"/>
        <v>4.0399997585918657</v>
      </c>
      <c r="K8" s="17">
        <f t="shared" si="13"/>
        <v>100.00000753220877</v>
      </c>
      <c r="L8" s="17">
        <f>H8/$H$14*100</f>
        <v>2.6673767028785407</v>
      </c>
      <c r="M8" s="15">
        <v>2160.5349999999999</v>
      </c>
      <c r="N8" s="15">
        <v>7397.0860000000002</v>
      </c>
      <c r="O8" s="29">
        <f t="shared" si="2"/>
        <v>4.0400000370278661</v>
      </c>
      <c r="P8" s="17">
        <f t="shared" si="14"/>
        <v>100.00000689198063</v>
      </c>
      <c r="Q8" s="17">
        <f>M8/$M$14*100</f>
        <v>2.960130273764114</v>
      </c>
      <c r="R8" s="15">
        <v>1633.7090000000001</v>
      </c>
      <c r="S8" s="15">
        <v>5593.3760000000002</v>
      </c>
      <c r="T8" s="29">
        <f t="shared" si="3"/>
        <v>4.0399995837692027</v>
      </c>
      <c r="U8" s="17">
        <f t="shared" si="15"/>
        <v>99.999988780726255</v>
      </c>
      <c r="V8" s="17">
        <f t="shared" si="16"/>
        <v>2.3725981225194381</v>
      </c>
      <c r="W8" s="15">
        <v>1831.135</v>
      </c>
      <c r="X8" s="15">
        <v>6269.31</v>
      </c>
      <c r="Y8" s="29">
        <f t="shared" si="4"/>
        <v>4.040000218443752</v>
      </c>
      <c r="Z8" s="17">
        <f t="shared" si="17"/>
        <v>100.00001570976768</v>
      </c>
      <c r="AA8" s="17">
        <f t="shared" si="18"/>
        <v>2.6368508581683163</v>
      </c>
      <c r="AB8" s="15">
        <v>1800.703</v>
      </c>
      <c r="AC8" s="15">
        <f>AC9+AC10+AC11+AC12+AC13</f>
        <v>6165.1220000000003</v>
      </c>
      <c r="AD8" s="29">
        <f t="shared" si="5"/>
        <v>4.0400021325004731</v>
      </c>
      <c r="AE8" s="17">
        <f t="shared" si="19"/>
        <v>100.00004737763905</v>
      </c>
      <c r="AF8" s="17">
        <f t="shared" si="20"/>
        <v>2.7765954869782177</v>
      </c>
      <c r="AG8" s="15">
        <f>AG9+AG10+AG11+AG12+AG13</f>
        <v>4685.7879999999996</v>
      </c>
      <c r="AH8" s="15">
        <f>AH9+AH10+AH11+AH12+AH13</f>
        <v>16042.870999999999</v>
      </c>
      <c r="AI8" s="29">
        <f t="shared" si="6"/>
        <v>4.040000909132039</v>
      </c>
      <c r="AJ8" s="17">
        <f t="shared" si="21"/>
        <v>99.999969718619099</v>
      </c>
      <c r="AK8" s="17">
        <f t="shared" si="22"/>
        <v>6.5709797485189378</v>
      </c>
      <c r="AL8" s="15">
        <f t="shared" si="23"/>
        <v>14100.203999999998</v>
      </c>
      <c r="AM8" s="15">
        <f t="shared" si="24"/>
        <v>48275.281000000003</v>
      </c>
      <c r="AN8" s="26">
        <f t="shared" si="25"/>
        <v>4.0400005262335217</v>
      </c>
      <c r="AO8" s="17">
        <f>AL8/$AL$14*100</f>
        <v>3.3413189067918161</v>
      </c>
      <c r="AP8" s="15">
        <v>2580.7199999999998</v>
      </c>
      <c r="AQ8" s="15">
        <v>9491.8040000000001</v>
      </c>
      <c r="AR8" s="29">
        <f t="shared" si="7"/>
        <v>4.3400015189559502</v>
      </c>
      <c r="AS8" s="17">
        <f t="shared" si="8"/>
        <v>107.42575599787089</v>
      </c>
      <c r="AT8" s="17">
        <f>AP8/AP14*100</f>
        <v>3.3121871113116228</v>
      </c>
      <c r="AU8" s="15">
        <f>AU9+AU10+AU11+AU12+AU13</f>
        <v>2916.74</v>
      </c>
      <c r="AV8" s="15">
        <f>AV9+AV10+AV11+AV12+AV13</f>
        <v>10727.674000000001</v>
      </c>
      <c r="AW8" s="29">
        <f t="shared" si="9"/>
        <v>4.3400012753965047</v>
      </c>
      <c r="AX8" s="17">
        <f t="shared" si="26"/>
        <v>99.999994388033173</v>
      </c>
      <c r="AY8" s="17">
        <f>AU8/AU14*100</f>
        <v>3.5263054036253161</v>
      </c>
      <c r="AZ8" s="15">
        <f>AZ9+AZ10+AZ11+AZ12+AZ13</f>
        <v>2131.721</v>
      </c>
      <c r="BA8" s="15">
        <f>BA9+BA10+BA11+BA12+BA13</f>
        <v>7737.2719999999999</v>
      </c>
      <c r="BB8" s="29">
        <f t="shared" si="10"/>
        <v>4.2829155222470483</v>
      </c>
      <c r="BC8" s="17">
        <f t="shared" si="27"/>
        <v>98.684660452219774</v>
      </c>
      <c r="BD8" s="17">
        <f>AZ8/AZ14*100</f>
        <v>2.7181395475041623</v>
      </c>
      <c r="BE8" s="15">
        <f>BE9+BE10+BE11+BE12+BE13</f>
        <v>21729.384999999998</v>
      </c>
      <c r="BF8" s="15">
        <f>BF9+BF10+BF11+BF12+BF13</f>
        <v>76232.031000000003</v>
      </c>
      <c r="BG8" s="29">
        <f t="shared" si="12"/>
        <v>4.1397304424400421</v>
      </c>
      <c r="BH8" s="17">
        <f>BE8/BE14*100</f>
        <v>3.2870988459203305</v>
      </c>
      <c r="BI8" s="15">
        <v>20885.079000000002</v>
      </c>
      <c r="BJ8" s="15">
        <v>67352.340000000011</v>
      </c>
      <c r="BK8" s="29">
        <v>3.8053847533926017</v>
      </c>
      <c r="BL8" s="91">
        <v>3.0831580762045396</v>
      </c>
      <c r="BM8" s="17">
        <f t="shared" si="28"/>
        <v>104.0426277535268</v>
      </c>
      <c r="BN8" s="17">
        <f t="shared" si="29"/>
        <v>113.18393837541501</v>
      </c>
      <c r="BO8" s="17">
        <f t="shared" si="30"/>
        <v>108.78612047702568</v>
      </c>
      <c r="BP8" s="15">
        <f>BP9+BP10+BP11+BP12+BP13</f>
        <v>2276.7220000000002</v>
      </c>
      <c r="BQ8" s="15">
        <f>BQ9+BQ10+BQ11+BQ12+BQ13</f>
        <v>8227.3529999999992</v>
      </c>
      <c r="BR8" s="29">
        <f t="shared" si="31"/>
        <v>4.2641466722770707</v>
      </c>
      <c r="BS8" s="91">
        <f t="shared" si="32"/>
        <v>99.561773986143663</v>
      </c>
      <c r="BT8" s="91">
        <f>BP8/BP14*100</f>
        <v>3.0822896922497449</v>
      </c>
      <c r="BU8" s="15">
        <v>2156.25</v>
      </c>
      <c r="BV8" s="15">
        <v>7802.2389999999996</v>
      </c>
      <c r="BW8" s="29">
        <f t="shared" si="33"/>
        <v>4.2697470237681152</v>
      </c>
      <c r="BX8" s="91">
        <f t="shared" si="34"/>
        <v>103.14070162624982</v>
      </c>
      <c r="BY8" s="91">
        <f>BU8/BU14*100</f>
        <v>2.9877546744764207</v>
      </c>
      <c r="BZ8" s="15">
        <f>BZ9+BZ10+BZ11+BZ12+BZ13</f>
        <v>3445.7099999999996</v>
      </c>
      <c r="CA8" s="15">
        <f>CA9+CA10+CA11+CA12+CA13</f>
        <v>12475.205</v>
      </c>
      <c r="CB8" s="29">
        <f t="shared" si="35"/>
        <v>4.2721940906228326</v>
      </c>
      <c r="CC8" s="91">
        <f t="shared" si="36"/>
        <v>100.05731175268922</v>
      </c>
      <c r="CD8" s="91">
        <f>BZ8/BZ14*100</f>
        <v>4.333353203543135</v>
      </c>
      <c r="CE8" s="15">
        <f t="shared" si="37"/>
        <v>7878.6819999999989</v>
      </c>
      <c r="CF8" s="15">
        <f t="shared" si="38"/>
        <v>28504.796999999999</v>
      </c>
      <c r="CG8" s="28">
        <f t="shared" si="39"/>
        <v>4.2691988913881795</v>
      </c>
      <c r="CH8" s="92">
        <f>CE8/CE14*100</f>
        <v>3.493094137069261</v>
      </c>
      <c r="CJ8" s="34">
        <f t="shared" si="40"/>
        <v>29608.066999999995</v>
      </c>
      <c r="CK8" s="34">
        <f t="shared" si="41"/>
        <v>104736.82800000001</v>
      </c>
    </row>
    <row r="9" spans="1:89" ht="29.25" customHeight="1">
      <c r="B9" s="9" t="s">
        <v>3</v>
      </c>
      <c r="C9" s="90">
        <v>88.99</v>
      </c>
      <c r="D9" s="90">
        <v>304.678</v>
      </c>
      <c r="E9" s="30">
        <f t="shared" si="0"/>
        <v>4.0400049443757728</v>
      </c>
      <c r="F9" s="17">
        <v>99.999945622413904</v>
      </c>
      <c r="G9" s="17">
        <f>C9/$C$8*100</f>
        <v>5.781270606211601</v>
      </c>
      <c r="H9" s="90">
        <v>107.973</v>
      </c>
      <c r="I9" s="90">
        <v>369.67</v>
      </c>
      <c r="J9" s="30">
        <f t="shared" si="1"/>
        <v>4.0399970362961115</v>
      </c>
      <c r="K9" s="17">
        <f t="shared" si="13"/>
        <v>99.999804255693491</v>
      </c>
      <c r="L9" s="17">
        <f>H9/$H$8*100</f>
        <v>5.4303250862279677</v>
      </c>
      <c r="M9" s="90">
        <v>91.067999999999998</v>
      </c>
      <c r="N9" s="90">
        <v>311.79199999999997</v>
      </c>
      <c r="O9" s="30">
        <f t="shared" si="2"/>
        <v>4.0399982430711114</v>
      </c>
      <c r="P9" s="17">
        <f t="shared" si="14"/>
        <v>100.00002987069023</v>
      </c>
      <c r="Q9" s="17">
        <f>M9/$M$8*100</f>
        <v>4.2150671014355243</v>
      </c>
      <c r="R9" s="90">
        <v>101.809</v>
      </c>
      <c r="S9" s="90">
        <v>348.56599999999997</v>
      </c>
      <c r="T9" s="30">
        <f t="shared" si="3"/>
        <v>4.0399952852891197</v>
      </c>
      <c r="U9" s="17">
        <f t="shared" si="15"/>
        <v>99.99992678754262</v>
      </c>
      <c r="V9" s="17">
        <f>R9/$R$8*100</f>
        <v>6.2317707743545512</v>
      </c>
      <c r="W9" s="90">
        <v>111.982</v>
      </c>
      <c r="X9" s="90">
        <v>383.39600000000002</v>
      </c>
      <c r="Y9" s="30">
        <f t="shared" si="4"/>
        <v>4.04</v>
      </c>
      <c r="Z9" s="17">
        <f t="shared" si="17"/>
        <v>100.00011670090056</v>
      </c>
      <c r="AA9" s="17">
        <f>W9/$W$8*100</f>
        <v>6.115442061890576</v>
      </c>
      <c r="AB9" s="91">
        <v>87.867999999999995</v>
      </c>
      <c r="AC9" s="90">
        <v>300.83699999999999</v>
      </c>
      <c r="AD9" s="30">
        <f t="shared" si="5"/>
        <v>4.0400106978649788</v>
      </c>
      <c r="AE9" s="17">
        <f t="shared" si="19"/>
        <v>100.00026479863809</v>
      </c>
      <c r="AF9" s="17">
        <f>AB9/$AB$8*100</f>
        <v>4.8796497812243329</v>
      </c>
      <c r="AG9" s="91">
        <v>95.323999999999998</v>
      </c>
      <c r="AH9" s="90">
        <v>326.36399999999998</v>
      </c>
      <c r="AI9" s="30">
        <f t="shared" si="6"/>
        <v>4.040005874701019</v>
      </c>
      <c r="AJ9" s="17">
        <f t="shared" si="21"/>
        <v>99.9998806150696</v>
      </c>
      <c r="AK9" s="17">
        <f>AG9/$AG$8*100</f>
        <v>2.0343216551837173</v>
      </c>
      <c r="AL9" s="91">
        <f t="shared" si="23"/>
        <v>596.024</v>
      </c>
      <c r="AM9" s="90">
        <f t="shared" si="24"/>
        <v>2040.625</v>
      </c>
      <c r="AN9" s="26">
        <f t="shared" si="25"/>
        <v>4.0400009060037849</v>
      </c>
      <c r="AO9" s="17">
        <f>AL9/$AL$8*100</f>
        <v>4.227059409920594</v>
      </c>
      <c r="AP9" s="91">
        <v>88.343000000000004</v>
      </c>
      <c r="AQ9" s="90">
        <v>324.923</v>
      </c>
      <c r="AR9" s="30">
        <f t="shared" si="7"/>
        <v>4.3400058861483082</v>
      </c>
      <c r="AS9" s="17">
        <f t="shared" si="8"/>
        <v>107.42573205959734</v>
      </c>
      <c r="AT9" s="17">
        <f>AP9/AP8*100</f>
        <v>3.4231919774326549</v>
      </c>
      <c r="AU9" s="91">
        <v>91.391999999999996</v>
      </c>
      <c r="AV9" s="90">
        <v>336.137</v>
      </c>
      <c r="AW9" s="30">
        <f t="shared" si="9"/>
        <v>4.3400041579131647</v>
      </c>
      <c r="AX9" s="17">
        <f t="shared" si="26"/>
        <v>99.999960178967754</v>
      </c>
      <c r="AY9" s="17">
        <f>AU9/AU8*100</f>
        <v>3.13336121834651</v>
      </c>
      <c r="AZ9" s="91">
        <v>84.613</v>
      </c>
      <c r="BA9" s="90">
        <v>311.20400000000001</v>
      </c>
      <c r="BB9" s="30">
        <f t="shared" si="10"/>
        <v>4.340003545554465</v>
      </c>
      <c r="BC9" s="17">
        <f t="shared" si="27"/>
        <v>99.999985890366062</v>
      </c>
      <c r="BD9" s="17">
        <f>AZ9/AZ8*100</f>
        <v>3.9692342478213614</v>
      </c>
      <c r="BE9" s="91">
        <f t="shared" ref="BE9:BF13" si="42">AL9+AP9+AU9+AZ9</f>
        <v>860.37200000000007</v>
      </c>
      <c r="BF9" s="91">
        <f t="shared" si="42"/>
        <v>3012.8890000000001</v>
      </c>
      <c r="BG9" s="30">
        <f t="shared" si="12"/>
        <v>4.1321765701347788</v>
      </c>
      <c r="BH9" s="17">
        <f>BE9/BE8*100</f>
        <v>3.9594861980677325</v>
      </c>
      <c r="BI9" s="91">
        <v>866.96900000000005</v>
      </c>
      <c r="BJ9" s="91">
        <v>2776.21</v>
      </c>
      <c r="BK9" s="30">
        <v>3.7785985427391289</v>
      </c>
      <c r="BL9" s="91">
        <v>4.1511406301120521</v>
      </c>
      <c r="BM9" s="17">
        <f t="shared" si="28"/>
        <v>99.23907313871662</v>
      </c>
      <c r="BN9" s="17">
        <f t="shared" si="29"/>
        <v>108.52525565429127</v>
      </c>
      <c r="BO9" s="17">
        <f t="shared" si="30"/>
        <v>109.35738537440231</v>
      </c>
      <c r="BP9" s="91">
        <v>85.805999999999997</v>
      </c>
      <c r="BQ9" s="91">
        <v>315.59199999999998</v>
      </c>
      <c r="BR9" s="30">
        <f t="shared" si="31"/>
        <v>4.3400060601822714</v>
      </c>
      <c r="BS9" s="91">
        <f t="shared" si="32"/>
        <v>100.00005794068554</v>
      </c>
      <c r="BT9" s="91">
        <f>BP9/BP8*100</f>
        <v>3.7688395860364148</v>
      </c>
      <c r="BU9" s="91">
        <v>86.287999999999997</v>
      </c>
      <c r="BV9" s="91">
        <v>317.36399999999998</v>
      </c>
      <c r="BW9" s="30">
        <f t="shared" si="33"/>
        <v>4.3399953643612088</v>
      </c>
      <c r="BX9" s="91">
        <f t="shared" si="34"/>
        <v>105.02928155898361</v>
      </c>
      <c r="BY9" s="91">
        <f>BU9/BU8*100</f>
        <v>4.0017623188405791</v>
      </c>
      <c r="BZ9" s="91">
        <v>87.034999999999997</v>
      </c>
      <c r="CA9" s="91">
        <v>320.11200000000002</v>
      </c>
      <c r="CB9" s="30">
        <f t="shared" si="35"/>
        <v>4.3400029873039578</v>
      </c>
      <c r="CC9" s="91">
        <f t="shared" si="36"/>
        <v>100.00017564402974</v>
      </c>
      <c r="CD9" s="91">
        <f>BZ9/BZ8*100</f>
        <v>2.5258945181109262</v>
      </c>
      <c r="CE9" s="91">
        <f t="shared" ref="CE9:CE13" si="43">BP9+BU9+BZ9</f>
        <v>259.12900000000002</v>
      </c>
      <c r="CF9" s="91">
        <f t="shared" ref="CF9:CF13" si="44">BQ9+BV9+CA9</f>
        <v>953.06799999999998</v>
      </c>
      <c r="CG9" s="28">
        <f t="shared" si="39"/>
        <v>4.3400014664510715</v>
      </c>
      <c r="CH9" s="92">
        <f>CE9/CE8*100</f>
        <v>3.2889891989548512</v>
      </c>
      <c r="CJ9" s="34">
        <f t="shared" si="40"/>
        <v>1119.5010000000002</v>
      </c>
      <c r="CK9" s="34">
        <f t="shared" si="41"/>
        <v>3965.9570000000003</v>
      </c>
    </row>
    <row r="10" spans="1:89" ht="46.5" customHeight="1">
      <c r="B10" s="9" t="s">
        <v>4</v>
      </c>
      <c r="C10" s="90">
        <v>882.80899999999997</v>
      </c>
      <c r="D10" s="91">
        <v>3022.498</v>
      </c>
      <c r="E10" s="30">
        <f t="shared" si="0"/>
        <v>4.0399991844215455</v>
      </c>
      <c r="F10" s="17">
        <v>99.999966301439272</v>
      </c>
      <c r="G10" s="17">
        <f>C10/$C$8*100</f>
        <v>57.352036437791412</v>
      </c>
      <c r="H10" s="90">
        <v>1185.712</v>
      </c>
      <c r="I10" s="91">
        <v>4059.556</v>
      </c>
      <c r="J10" s="30">
        <f t="shared" si="1"/>
        <v>4.0399996626499517</v>
      </c>
      <c r="K10" s="17">
        <f t="shared" si="13"/>
        <v>100.00001183733917</v>
      </c>
      <c r="L10" s="17">
        <f>H10/$H$8*100</f>
        <v>59.633441866406741</v>
      </c>
      <c r="M10" s="90">
        <v>1491.596</v>
      </c>
      <c r="N10" s="91">
        <v>5106.82</v>
      </c>
      <c r="O10" s="30">
        <f t="shared" si="2"/>
        <v>4.0399998390985221</v>
      </c>
      <c r="P10" s="17">
        <f t="shared" si="14"/>
        <v>100.00000436753925</v>
      </c>
      <c r="Q10" s="17">
        <f>M10/$M$8*100</f>
        <v>69.038270613528596</v>
      </c>
      <c r="R10" s="90">
        <v>972.38900000000001</v>
      </c>
      <c r="S10" s="91">
        <v>3329.1959999999999</v>
      </c>
      <c r="T10" s="30">
        <f t="shared" si="3"/>
        <v>4.0399997120493953</v>
      </c>
      <c r="U10" s="17">
        <f t="shared" si="15"/>
        <v>99.999996855219507</v>
      </c>
      <c r="V10" s="17">
        <f t="shared" ref="V10:V13" si="45">R10/$R$8*100</f>
        <v>59.520330732094884</v>
      </c>
      <c r="W10" s="90">
        <v>1272.9870000000001</v>
      </c>
      <c r="X10" s="91">
        <v>4358.3620000000001</v>
      </c>
      <c r="Y10" s="30">
        <f t="shared" si="4"/>
        <v>4.0399997486227273</v>
      </c>
      <c r="Z10" s="17">
        <f t="shared" si="17"/>
        <v>100.00000090528056</v>
      </c>
      <c r="AA10" s="17">
        <f t="shared" ref="AA10:AA13" si="46">W10/$W$8*100</f>
        <v>69.519014163346782</v>
      </c>
      <c r="AB10" s="90">
        <v>1355.1890000000001</v>
      </c>
      <c r="AC10" s="91">
        <v>4639.8</v>
      </c>
      <c r="AD10" s="30">
        <f t="shared" si="5"/>
        <v>4.0400003246779592</v>
      </c>
      <c r="AE10" s="17">
        <f t="shared" si="19"/>
        <v>100.00001425879377</v>
      </c>
      <c r="AF10" s="17">
        <f t="shared" ref="AF10:AF13" si="47">AB10/$AB$8*100</f>
        <v>75.258885002135273</v>
      </c>
      <c r="AG10" s="90">
        <v>2885.4969999999998</v>
      </c>
      <c r="AH10" s="91">
        <v>9879.16</v>
      </c>
      <c r="AI10" s="30">
        <f t="shared" si="6"/>
        <v>4.0400003188358884</v>
      </c>
      <c r="AJ10" s="17">
        <f t="shared" si="21"/>
        <v>99.999999855394293</v>
      </c>
      <c r="AK10" s="17">
        <f t="shared" ref="AK10:AK13" si="48">AG10/$AG$8*100</f>
        <v>61.579759903777131</v>
      </c>
      <c r="AL10" s="90">
        <f t="shared" si="23"/>
        <v>9163.3700000000008</v>
      </c>
      <c r="AM10" s="91">
        <f t="shared" si="24"/>
        <v>31372.894</v>
      </c>
      <c r="AN10" s="26">
        <f t="shared" si="25"/>
        <v>4.040000013095618</v>
      </c>
      <c r="AO10" s="17">
        <f t="shared" ref="AO10:AO13" si="49">AL10/$AL$8*100</f>
        <v>64.98749947163887</v>
      </c>
      <c r="AP10" s="90">
        <v>2071.415</v>
      </c>
      <c r="AQ10" s="91">
        <v>7618.5950000000003</v>
      </c>
      <c r="AR10" s="30">
        <f t="shared" si="7"/>
        <v>4.3400004827617842</v>
      </c>
      <c r="AS10" s="17">
        <f t="shared" si="8"/>
        <v>107.42574604579089</v>
      </c>
      <c r="AT10" s="17">
        <f>AP10/AP8*100</f>
        <v>80.265003564896617</v>
      </c>
      <c r="AU10" s="90">
        <v>2410.183</v>
      </c>
      <c r="AV10" s="91">
        <v>8864.5720000000001</v>
      </c>
      <c r="AW10" s="30">
        <f t="shared" si="9"/>
        <v>4.3400003070306274</v>
      </c>
      <c r="AX10" s="17">
        <f t="shared" si="26"/>
        <v>99.999995950895453</v>
      </c>
      <c r="AY10" s="17">
        <f>AU10/AU8*100</f>
        <v>82.632768090402308</v>
      </c>
      <c r="AZ10" s="90">
        <v>1489.9269999999999</v>
      </c>
      <c r="BA10" s="91">
        <v>5479.9009999999998</v>
      </c>
      <c r="BB10" s="30">
        <f t="shared" si="10"/>
        <v>4.34</v>
      </c>
      <c r="BC10" s="17">
        <f t="shared" si="27"/>
        <v>99.999992925562083</v>
      </c>
      <c r="BD10" s="17">
        <f>AZ10/AZ8*100</f>
        <v>69.893152058829457</v>
      </c>
      <c r="BE10" s="90">
        <f t="shared" si="42"/>
        <v>15134.895</v>
      </c>
      <c r="BF10" s="90">
        <f t="shared" si="42"/>
        <v>53335.962</v>
      </c>
      <c r="BG10" s="30">
        <f t="shared" si="12"/>
        <v>4.1583661571487607</v>
      </c>
      <c r="BH10" s="17">
        <f>BE10/BE8*100</f>
        <v>69.651741179053161</v>
      </c>
      <c r="BI10" s="91">
        <v>14347.154999999999</v>
      </c>
      <c r="BJ10" s="91">
        <v>46213.421000000002</v>
      </c>
      <c r="BK10" s="30">
        <v>3.8008815531720401</v>
      </c>
      <c r="BL10" s="91">
        <v>68.695718124887136</v>
      </c>
      <c r="BM10" s="17">
        <f t="shared" si="28"/>
        <v>105.49056589965049</v>
      </c>
      <c r="BN10" s="17">
        <f t="shared" si="29"/>
        <v>115.41227817780467</v>
      </c>
      <c r="BO10" s="17">
        <f t="shared" si="30"/>
        <v>109.40530766285997</v>
      </c>
      <c r="BP10" s="91">
        <v>1453.124</v>
      </c>
      <c r="BQ10" s="91">
        <v>5344.5439999999999</v>
      </c>
      <c r="BR10" s="30">
        <f t="shared" si="31"/>
        <v>4.3400025875286623</v>
      </c>
      <c r="BS10" s="91">
        <f t="shared" si="32"/>
        <v>100.00005962047609</v>
      </c>
      <c r="BT10" s="91">
        <f>BP10/BP8*100</f>
        <v>63.825271596620048</v>
      </c>
      <c r="BU10" s="91">
        <v>1216.152</v>
      </c>
      <c r="BV10" s="91">
        <v>4472.9660000000003</v>
      </c>
      <c r="BW10" s="30">
        <f t="shared" si="33"/>
        <v>4.3400001644531274</v>
      </c>
      <c r="BX10" s="91">
        <f t="shared" si="34"/>
        <v>104.36791760129431</v>
      </c>
      <c r="BY10" s="91">
        <f>BU10/BU8*100</f>
        <v>56.401252173913043</v>
      </c>
      <c r="BZ10" s="91">
        <v>2319.3069999999998</v>
      </c>
      <c r="CA10" s="91">
        <v>8530.3320000000003</v>
      </c>
      <c r="CB10" s="30">
        <f t="shared" si="35"/>
        <v>4.3399997326787707</v>
      </c>
      <c r="CC10" s="91">
        <f t="shared" si="36"/>
        <v>99.999990051282481</v>
      </c>
      <c r="CD10" s="91">
        <f>BZ10/BZ8*100</f>
        <v>67.30998836234042</v>
      </c>
      <c r="CE10" s="91">
        <f t="shared" si="43"/>
        <v>4988.5829999999996</v>
      </c>
      <c r="CF10" s="91">
        <f t="shared" si="44"/>
        <v>18347.842000000001</v>
      </c>
      <c r="CG10" s="28">
        <f t="shared" si="39"/>
        <v>4.3400006695288029</v>
      </c>
      <c r="CH10" s="92">
        <f>CE10/CE8*100</f>
        <v>63.3174812741522</v>
      </c>
      <c r="CI10" s="93"/>
      <c r="CJ10" s="34">
        <f t="shared" si="40"/>
        <v>20123.477999999999</v>
      </c>
      <c r="CK10" s="34">
        <f t="shared" si="41"/>
        <v>71683.804000000004</v>
      </c>
    </row>
    <row r="11" spans="1:89">
      <c r="B11" s="9" t="s">
        <v>5</v>
      </c>
      <c r="C11" s="90">
        <v>149.84899999999999</v>
      </c>
      <c r="D11" s="90">
        <v>513.04200000000003</v>
      </c>
      <c r="E11" s="30">
        <f t="shared" si="0"/>
        <v>4.0399973306461847</v>
      </c>
      <c r="F11" s="17">
        <v>99.999775158016149</v>
      </c>
      <c r="G11" s="17">
        <f>C11/$C$8*100</f>
        <v>9.7349996524351301</v>
      </c>
      <c r="H11" s="90">
        <v>218.042</v>
      </c>
      <c r="I11" s="90">
        <v>746.51700000000005</v>
      </c>
      <c r="J11" s="30">
        <f t="shared" si="1"/>
        <v>4.0400017427835007</v>
      </c>
      <c r="K11" s="17">
        <f t="shared" si="13"/>
        <v>100.00010921139186</v>
      </c>
      <c r="L11" s="17">
        <f>H11/$H$8*100</f>
        <v>10.966065057480282</v>
      </c>
      <c r="M11" s="90">
        <v>167.886</v>
      </c>
      <c r="N11" s="90">
        <v>574.79600000000005</v>
      </c>
      <c r="O11" s="30">
        <f t="shared" si="2"/>
        <v>4.0399990469723503</v>
      </c>
      <c r="P11" s="17">
        <f t="shared" si="14"/>
        <v>99.99993327203002</v>
      </c>
      <c r="Q11" s="17">
        <f>M11/$M$8*100</f>
        <v>7.7705753436070237</v>
      </c>
      <c r="R11" s="90">
        <v>168.93100000000001</v>
      </c>
      <c r="S11" s="90">
        <v>578.37400000000002</v>
      </c>
      <c r="T11" s="30">
        <f t="shared" si="3"/>
        <v>4.0400004735661303</v>
      </c>
      <c r="U11" s="17">
        <f t="shared" si="15"/>
        <v>100.00003531173556</v>
      </c>
      <c r="V11" s="17">
        <f t="shared" si="45"/>
        <v>10.340336008432347</v>
      </c>
      <c r="W11" s="90">
        <v>126.26300000000001</v>
      </c>
      <c r="X11" s="90">
        <v>432.29</v>
      </c>
      <c r="Y11" s="30">
        <f t="shared" si="4"/>
        <v>4.0399974656075015</v>
      </c>
      <c r="Z11" s="17">
        <f t="shared" si="17"/>
        <v>99.999925545587217</v>
      </c>
      <c r="AA11" s="17">
        <f t="shared" si="46"/>
        <v>6.8953408678224166</v>
      </c>
      <c r="AB11" s="90">
        <v>80.123000000000005</v>
      </c>
      <c r="AC11" s="90">
        <v>274.32</v>
      </c>
      <c r="AD11" s="30">
        <f t="shared" si="5"/>
        <v>4.0400084869513115</v>
      </c>
      <c r="AE11" s="17">
        <f t="shared" si="19"/>
        <v>100.00027280571101</v>
      </c>
      <c r="AF11" s="17">
        <f t="shared" si="47"/>
        <v>4.4495399852168847</v>
      </c>
      <c r="AG11" s="90">
        <v>113.816</v>
      </c>
      <c r="AH11" s="90">
        <v>389.67599999999999</v>
      </c>
      <c r="AI11" s="30">
        <f t="shared" si="6"/>
        <v>4.0400091375553524</v>
      </c>
      <c r="AJ11" s="17">
        <f t="shared" si="21"/>
        <v>100.00001610402659</v>
      </c>
      <c r="AK11" s="17">
        <f t="shared" si="48"/>
        <v>2.4289617882840626</v>
      </c>
      <c r="AL11" s="90">
        <f t="shared" si="23"/>
        <v>875.06100000000015</v>
      </c>
      <c r="AM11" s="90">
        <f t="shared" si="24"/>
        <v>2995.9730000000004</v>
      </c>
      <c r="AN11" s="26">
        <f t="shared" si="25"/>
        <v>4.0400019427217071</v>
      </c>
      <c r="AO11" s="17">
        <f t="shared" si="49"/>
        <v>6.2060165938024747</v>
      </c>
      <c r="AP11" s="90">
        <v>115.203</v>
      </c>
      <c r="AQ11" s="90">
        <v>423.71300000000002</v>
      </c>
      <c r="AR11" s="30">
        <f t="shared" si="7"/>
        <v>4.3400027777054415</v>
      </c>
      <c r="AS11" s="17">
        <f t="shared" si="8"/>
        <v>107.42556835729383</v>
      </c>
      <c r="AT11" s="17">
        <f>AP11/AP8*100</f>
        <v>4.4639867943829632</v>
      </c>
      <c r="AU11" s="90">
        <v>114.081</v>
      </c>
      <c r="AV11" s="90">
        <v>419.58699999999999</v>
      </c>
      <c r="AW11" s="30">
        <f t="shared" si="9"/>
        <v>4.3400098175857496</v>
      </c>
      <c r="AX11" s="17">
        <f t="shared" si="26"/>
        <v>100.00016220911986</v>
      </c>
      <c r="AY11" s="17">
        <f>AU11/AU8*100</f>
        <v>3.9112502314227533</v>
      </c>
      <c r="AZ11" s="90">
        <v>89.454999999999998</v>
      </c>
      <c r="BA11" s="90">
        <v>329.01299999999998</v>
      </c>
      <c r="BB11" s="30">
        <f t="shared" si="10"/>
        <v>4.3400071544351899</v>
      </c>
      <c r="BC11" s="17">
        <f t="shared" si="27"/>
        <v>99.999938637222684</v>
      </c>
      <c r="BD11" s="17">
        <f>AZ11/AZ8*100</f>
        <v>4.1963746662907573</v>
      </c>
      <c r="BE11" s="90">
        <f t="shared" si="42"/>
        <v>1193.8</v>
      </c>
      <c r="BF11" s="90">
        <f t="shared" si="42"/>
        <v>4168.286000000001</v>
      </c>
      <c r="BG11" s="30">
        <f t="shared" si="12"/>
        <v>4.1201017590886257</v>
      </c>
      <c r="BH11" s="17">
        <f>BE11/BE8*100</f>
        <v>5.4939428796535195</v>
      </c>
      <c r="BI11" s="91">
        <v>1160.7450000000001</v>
      </c>
      <c r="BJ11" s="91">
        <v>3679.7369999999996</v>
      </c>
      <c r="BK11" s="30">
        <v>3.7407782587906895</v>
      </c>
      <c r="BL11" s="91">
        <v>5.5577716512348365</v>
      </c>
      <c r="BM11" s="17">
        <f t="shared" si="28"/>
        <v>102.84774002903308</v>
      </c>
      <c r="BN11" s="17">
        <f t="shared" si="29"/>
        <v>113.27673689722937</v>
      </c>
      <c r="BO11" s="17">
        <f t="shared" si="30"/>
        <v>110.14022949386376</v>
      </c>
      <c r="BP11" s="91">
        <v>140.798</v>
      </c>
      <c r="BQ11" s="91">
        <v>517.851</v>
      </c>
      <c r="BR11" s="30">
        <f t="shared" si="31"/>
        <v>4.3400061080413073</v>
      </c>
      <c r="BS11" s="91">
        <f t="shared" si="32"/>
        <v>99.99997588958162</v>
      </c>
      <c r="BT11" s="91">
        <f>BP11/BP8*100</f>
        <v>6.184242081378402</v>
      </c>
      <c r="BU11" s="91">
        <v>191.53299999999999</v>
      </c>
      <c r="BV11" s="91">
        <v>704.452</v>
      </c>
      <c r="BW11" s="30">
        <f t="shared" si="33"/>
        <v>4.3400007309445368</v>
      </c>
      <c r="BX11" s="91">
        <f t="shared" si="34"/>
        <v>105.33722186280548</v>
      </c>
      <c r="BY11" s="91">
        <f>BU11/BU8*100</f>
        <v>8.8826898550724636</v>
      </c>
      <c r="BZ11" s="91">
        <v>225.03299999999999</v>
      </c>
      <c r="CA11" s="91">
        <v>827.66399999999999</v>
      </c>
      <c r="CB11" s="30">
        <f t="shared" si="35"/>
        <v>4.3400013331378062</v>
      </c>
      <c r="CC11" s="91">
        <f t="shared" si="36"/>
        <v>100.00001387541862</v>
      </c>
      <c r="CD11" s="91">
        <f>BZ11/BZ8*100</f>
        <v>6.5308165806176373</v>
      </c>
      <c r="CE11" s="91">
        <f t="shared" si="43"/>
        <v>557.36400000000003</v>
      </c>
      <c r="CF11" s="91">
        <f t="shared" si="44"/>
        <v>2049.9669999999996</v>
      </c>
      <c r="CG11" s="28">
        <f t="shared" si="39"/>
        <v>4.3400023324075452</v>
      </c>
      <c r="CH11" s="92">
        <f>CE11/CE8*100</f>
        <v>7.0743304527330855</v>
      </c>
      <c r="CJ11" s="34">
        <f t="shared" si="40"/>
        <v>1751.164</v>
      </c>
      <c r="CK11" s="34">
        <f t="shared" si="41"/>
        <v>6218.2530000000006</v>
      </c>
    </row>
    <row r="12" spans="1:89" ht="48.75" customHeight="1">
      <c r="B12" s="9" t="s">
        <v>12</v>
      </c>
      <c r="C12" s="90">
        <v>62.134999999999998</v>
      </c>
      <c r="D12" s="90">
        <v>212.733</v>
      </c>
      <c r="E12" s="29">
        <f t="shared" si="0"/>
        <v>4.0399925967651082</v>
      </c>
      <c r="F12" s="17">
        <v>99.999792065429091</v>
      </c>
      <c r="G12" s="17">
        <f>C12/$C$8*100</f>
        <v>4.0366248917514085</v>
      </c>
      <c r="H12" s="90">
        <v>59.947000000000003</v>
      </c>
      <c r="I12" s="90">
        <v>205.24199999999999</v>
      </c>
      <c r="J12" s="29">
        <f t="shared" si="1"/>
        <v>4.0399946619513898</v>
      </c>
      <c r="K12" s="17">
        <f t="shared" si="13"/>
        <v>100.00005111856598</v>
      </c>
      <c r="L12" s="17">
        <f>H12/$H$8*100</f>
        <v>3.0149361224019708</v>
      </c>
      <c r="M12" s="90">
        <v>56.377000000000002</v>
      </c>
      <c r="N12" s="90">
        <v>193.02</v>
      </c>
      <c r="O12" s="29">
        <f t="shared" si="2"/>
        <v>4.0400092236195615</v>
      </c>
      <c r="P12" s="17">
        <f t="shared" si="14"/>
        <v>100.00036043780722</v>
      </c>
      <c r="Q12" s="17">
        <f>M12/$M$8*100</f>
        <v>2.6093999865773991</v>
      </c>
      <c r="R12" s="90">
        <v>54.896000000000001</v>
      </c>
      <c r="S12" s="90">
        <v>187.94900000000001</v>
      </c>
      <c r="T12" s="29">
        <f t="shared" si="3"/>
        <v>4.0399996356747305</v>
      </c>
      <c r="U12" s="17">
        <f t="shared" si="15"/>
        <v>99.999762675174736</v>
      </c>
      <c r="V12" s="17">
        <f t="shared" si="45"/>
        <v>3.3602067442855486</v>
      </c>
      <c r="W12" s="90">
        <v>62.834000000000003</v>
      </c>
      <c r="X12" s="90">
        <v>215.12700000000001</v>
      </c>
      <c r="Y12" s="29">
        <f t="shared" si="4"/>
        <v>4.0400079574752521</v>
      </c>
      <c r="Z12" s="17">
        <f t="shared" si="17"/>
        <v>100.00020598518</v>
      </c>
      <c r="AA12" s="17">
        <f t="shared" si="46"/>
        <v>3.4314236798488369</v>
      </c>
      <c r="AB12" s="90">
        <v>55.753</v>
      </c>
      <c r="AC12" s="90">
        <v>190.88399999999999</v>
      </c>
      <c r="AD12" s="29">
        <f t="shared" si="5"/>
        <v>4.040017936254551</v>
      </c>
      <c r="AE12" s="17">
        <f t="shared" si="19"/>
        <v>100.00024699900109</v>
      </c>
      <c r="AF12" s="17">
        <f t="shared" si="47"/>
        <v>3.0961796587221766</v>
      </c>
      <c r="AG12" s="90">
        <v>58.695999999999998</v>
      </c>
      <c r="AH12" s="90">
        <v>200.96</v>
      </c>
      <c r="AI12" s="29">
        <f t="shared" si="6"/>
        <v>4.0400163554586346</v>
      </c>
      <c r="AJ12" s="17">
        <f t="shared" si="21"/>
        <v>99.999960871561925</v>
      </c>
      <c r="AK12" s="17">
        <f t="shared" si="48"/>
        <v>1.2526388304379115</v>
      </c>
      <c r="AL12" s="90">
        <f t="shared" si="23"/>
        <v>348.50300000000004</v>
      </c>
      <c r="AM12" s="90">
        <f t="shared" si="24"/>
        <v>1193.182</v>
      </c>
      <c r="AN12" s="26">
        <f t="shared" si="25"/>
        <v>4.0400075752576008</v>
      </c>
      <c r="AO12" s="17">
        <f t="shared" si="49"/>
        <v>2.47161672270841</v>
      </c>
      <c r="AP12" s="90">
        <v>66.954999999999998</v>
      </c>
      <c r="AQ12" s="90">
        <v>246.25899999999999</v>
      </c>
      <c r="AR12" s="29">
        <f t="shared" si="7"/>
        <v>4.3400137405720258</v>
      </c>
      <c r="AS12" s="17">
        <f t="shared" si="8"/>
        <v>107.42564778749106</v>
      </c>
      <c r="AT12" s="17">
        <f>AP12/AP8*100</f>
        <v>2.5944310115006664</v>
      </c>
      <c r="AU12" s="90">
        <v>66.335999999999999</v>
      </c>
      <c r="AV12" s="90">
        <v>243.982</v>
      </c>
      <c r="AW12" s="29">
        <f t="shared" si="9"/>
        <v>4.3400078388808483</v>
      </c>
      <c r="AX12" s="17">
        <f t="shared" si="26"/>
        <v>99.999864016762842</v>
      </c>
      <c r="AY12" s="17">
        <f>AU12/AU8*100</f>
        <v>2.2743199599552928</v>
      </c>
      <c r="AZ12" s="90">
        <v>234.81</v>
      </c>
      <c r="BA12" s="90">
        <v>760.49599999999998</v>
      </c>
      <c r="BB12" s="29">
        <f t="shared" si="10"/>
        <v>3.8217506920488904</v>
      </c>
      <c r="BC12" s="17">
        <f t="shared" si="27"/>
        <v>88.058612655280371</v>
      </c>
      <c r="BD12" s="17">
        <f>AZ12/AZ8*100</f>
        <v>11.015043713506598</v>
      </c>
      <c r="BE12" s="90">
        <f t="shared" si="42"/>
        <v>716.60400000000004</v>
      </c>
      <c r="BF12" s="90">
        <f t="shared" si="42"/>
        <v>2443.9189999999999</v>
      </c>
      <c r="BG12" s="29">
        <f t="shared" si="12"/>
        <v>4.0242929428247676</v>
      </c>
      <c r="BH12" s="17">
        <f>BE12/BE8*100</f>
        <v>3.2978567962231793</v>
      </c>
      <c r="BI12" s="91">
        <v>1850.1699999999998</v>
      </c>
      <c r="BJ12" s="91">
        <v>5007.8320000000003</v>
      </c>
      <c r="BK12" s="29">
        <v>3.1938912424263717</v>
      </c>
      <c r="BL12" s="91">
        <v>8.8588125522532124</v>
      </c>
      <c r="BM12" s="17">
        <f t="shared" si="28"/>
        <v>38.731792213688479</v>
      </c>
      <c r="BN12" s="17">
        <f t="shared" si="29"/>
        <v>48.801936646437014</v>
      </c>
      <c r="BO12" s="17">
        <f t="shared" si="30"/>
        <v>125.99968619368352</v>
      </c>
      <c r="BP12" s="91">
        <v>304.56</v>
      </c>
      <c r="BQ12" s="91">
        <v>973.803</v>
      </c>
      <c r="BR12" s="29">
        <f t="shared" si="31"/>
        <v>3.7729430654058307</v>
      </c>
      <c r="BS12" s="91">
        <f t="shared" si="32"/>
        <v>98.722898729511485</v>
      </c>
      <c r="BT12" s="91">
        <f>BP12/BP8*100</f>
        <v>13.377127290903324</v>
      </c>
      <c r="BU12" s="91">
        <v>291.48399999999998</v>
      </c>
      <c r="BV12" s="91">
        <v>943.69299999999998</v>
      </c>
      <c r="BW12" s="29">
        <f t="shared" si="33"/>
        <v>3.8203048537827118</v>
      </c>
      <c r="BX12" s="91">
        <f t="shared" si="34"/>
        <v>94.931082504672972</v>
      </c>
      <c r="BY12" s="91">
        <f>BU12/BU8*100</f>
        <v>13.518098550724636</v>
      </c>
      <c r="BZ12" s="91">
        <v>374.70600000000002</v>
      </c>
      <c r="CA12" s="91">
        <v>1180.1559999999999</v>
      </c>
      <c r="CB12" s="29">
        <f t="shared" si="35"/>
        <v>3.7164712601346115</v>
      </c>
      <c r="CC12" s="91">
        <f t="shared" si="36"/>
        <v>97.282060002481515</v>
      </c>
      <c r="CD12" s="91">
        <f>BZ12/BZ8*100</f>
        <v>10.874565764385281</v>
      </c>
      <c r="CE12" s="91">
        <f t="shared" si="43"/>
        <v>970.75</v>
      </c>
      <c r="CF12" s="91">
        <f t="shared" si="44"/>
        <v>3097.652</v>
      </c>
      <c r="CG12" s="28">
        <f t="shared" si="39"/>
        <v>3.765366325006438</v>
      </c>
      <c r="CH12" s="92">
        <f>CE12/CE8*100</f>
        <v>12.321223270592723</v>
      </c>
      <c r="CJ12" s="34">
        <f t="shared" si="40"/>
        <v>1687.354</v>
      </c>
      <c r="CK12" s="34">
        <f t="shared" si="41"/>
        <v>5541.5709999999999</v>
      </c>
    </row>
    <row r="13" spans="1:89" ht="45.75" customHeight="1">
      <c r="B13" s="9" t="s">
        <v>6</v>
      </c>
      <c r="C13" s="90">
        <v>355.49799999999999</v>
      </c>
      <c r="D13" s="90">
        <v>1217.1289999999999</v>
      </c>
      <c r="E13" s="30">
        <f>(D13/C13)*1.18</f>
        <v>4.0400008438866042</v>
      </c>
      <c r="F13" s="17">
        <v>100.00000407684246</v>
      </c>
      <c r="G13" s="17">
        <f>C13/$C$8*100</f>
        <v>23.095068411810448</v>
      </c>
      <c r="H13" s="90">
        <v>416.66</v>
      </c>
      <c r="I13" s="90">
        <v>1426.5309999999999</v>
      </c>
      <c r="J13" s="30">
        <f>(I13/H13)*1.18</f>
        <v>4.0400004320069121</v>
      </c>
      <c r="K13" s="17">
        <f t="shared" si="13"/>
        <v>99.999989804960236</v>
      </c>
      <c r="L13" s="17">
        <f>H13/$H$8*100</f>
        <v>20.955231867483029</v>
      </c>
      <c r="M13" s="90">
        <v>353.608</v>
      </c>
      <c r="N13" s="90">
        <v>1210.6579999999999</v>
      </c>
      <c r="O13" s="30">
        <f>(N13/M13)*1.18</f>
        <v>4.0400003393588371</v>
      </c>
      <c r="P13" s="17">
        <f t="shared" si="14"/>
        <v>99.999997706731065</v>
      </c>
      <c r="Q13" s="17">
        <f>M13/$M$8*100</f>
        <v>16.36668695485146</v>
      </c>
      <c r="R13" s="90">
        <v>335.68400000000003</v>
      </c>
      <c r="S13" s="90">
        <v>1149.2909999999999</v>
      </c>
      <c r="T13" s="30">
        <f>(S13/R13)*1.18</f>
        <v>4.0400000595798424</v>
      </c>
      <c r="U13" s="17">
        <f t="shared" si="15"/>
        <v>99.999993074777933</v>
      </c>
      <c r="V13" s="17">
        <f t="shared" si="45"/>
        <v>20.547355740832671</v>
      </c>
      <c r="W13" s="90">
        <v>257.06900000000002</v>
      </c>
      <c r="X13" s="90">
        <v>880.13499999999999</v>
      </c>
      <c r="Y13" s="30">
        <f>(X13/W13)*1.18</f>
        <v>4.0400021006033393</v>
      </c>
      <c r="Z13" s="17">
        <f t="shared" si="17"/>
        <v>100.00005052038283</v>
      </c>
      <c r="AA13" s="17">
        <f t="shared" si="46"/>
        <v>14.038779227091394</v>
      </c>
      <c r="AB13" s="90">
        <v>221.77</v>
      </c>
      <c r="AC13" s="90">
        <v>759.28099999999995</v>
      </c>
      <c r="AD13" s="30">
        <f>(AC13/AB13)*1.18</f>
        <v>4.0400035171574151</v>
      </c>
      <c r="AE13" s="17">
        <f t="shared" si="19"/>
        <v>100.00003506320148</v>
      </c>
      <c r="AF13" s="17">
        <f t="shared" si="47"/>
        <v>12.31574557270133</v>
      </c>
      <c r="AG13" s="90">
        <v>1532.4549999999999</v>
      </c>
      <c r="AH13" s="90">
        <v>5246.7110000000002</v>
      </c>
      <c r="AI13" s="30">
        <f>(AH13/AG13)*1.18</f>
        <v>4.0400005089872133</v>
      </c>
      <c r="AJ13" s="17">
        <f t="shared" si="21"/>
        <v>99.999925540406366</v>
      </c>
      <c r="AK13" s="17">
        <f t="shared" si="48"/>
        <v>32.704317822317186</v>
      </c>
      <c r="AL13" s="90">
        <f t="shared" si="23"/>
        <v>3117.2460000000001</v>
      </c>
      <c r="AM13" s="90">
        <f t="shared" si="24"/>
        <v>10672.607</v>
      </c>
      <c r="AN13" s="26">
        <f t="shared" si="25"/>
        <v>4.0400007763262824</v>
      </c>
      <c r="AO13" s="17">
        <f t="shared" si="49"/>
        <v>22.107807801929678</v>
      </c>
      <c r="AP13" s="90">
        <v>238.804</v>
      </c>
      <c r="AQ13" s="90">
        <v>878.31399999999996</v>
      </c>
      <c r="AR13" s="30">
        <f>(AQ13/AP13)*1.18</f>
        <v>4.340004857540074</v>
      </c>
      <c r="AS13" s="17">
        <f t="shared" si="8"/>
        <v>107.42584927614449</v>
      </c>
      <c r="AT13" s="17">
        <f>AP13/AP8*100</f>
        <v>9.2533866517870997</v>
      </c>
      <c r="AU13" s="90">
        <v>234.74799999999999</v>
      </c>
      <c r="AV13" s="90">
        <v>863.39599999999996</v>
      </c>
      <c r="AW13" s="30">
        <f>(AV13/AU13)*1.18</f>
        <v>4.3400040894917096</v>
      </c>
      <c r="AX13" s="17">
        <f t="shared" si="26"/>
        <v>99.999982303052874</v>
      </c>
      <c r="AY13" s="17">
        <f>AU13/AU8*100</f>
        <v>8.0483004998731467</v>
      </c>
      <c r="AZ13" s="90">
        <v>232.916</v>
      </c>
      <c r="BA13" s="90">
        <v>856.65800000000002</v>
      </c>
      <c r="BB13" s="30">
        <f>(BA13/AZ13)*1.18</f>
        <v>4.3400042933933261</v>
      </c>
      <c r="BC13" s="17">
        <f t="shared" si="27"/>
        <v>100.0000046981895</v>
      </c>
      <c r="BD13" s="17">
        <f>AZ13/AZ8*100</f>
        <v>10.926195313551821</v>
      </c>
      <c r="BE13" s="90">
        <f t="shared" si="42"/>
        <v>3823.7140000000004</v>
      </c>
      <c r="BF13" s="90">
        <f t="shared" si="42"/>
        <v>13270.975</v>
      </c>
      <c r="BG13" s="30">
        <f>(BF13/BE13)*1.18</f>
        <v>4.095429339118982</v>
      </c>
      <c r="BH13" s="17">
        <f>BE13/BE8*100</f>
        <v>17.596972947002413</v>
      </c>
      <c r="BI13" s="91">
        <v>2660.04</v>
      </c>
      <c r="BJ13" s="91">
        <v>8545.9719999999998</v>
      </c>
      <c r="BK13" s="30">
        <v>3.7910132779958192</v>
      </c>
      <c r="BL13" s="91">
        <v>12.736557041512746</v>
      </c>
      <c r="BM13" s="17">
        <f t="shared" si="28"/>
        <v>143.74648501526295</v>
      </c>
      <c r="BN13" s="17">
        <f t="shared" si="29"/>
        <v>155.28924035791366</v>
      </c>
      <c r="BO13" s="17">
        <f t="shared" si="30"/>
        <v>108.02993919567851</v>
      </c>
      <c r="BP13" s="91">
        <v>292.43400000000003</v>
      </c>
      <c r="BQ13" s="91">
        <v>1075.5630000000001</v>
      </c>
      <c r="BR13" s="30">
        <f t="shared" si="31"/>
        <v>4.3400026672685117</v>
      </c>
      <c r="BS13" s="91">
        <f t="shared" si="32"/>
        <v>99.999962531723369</v>
      </c>
      <c r="BT13" s="91">
        <f>BP13/BP8*100</f>
        <v>12.844519445061803</v>
      </c>
      <c r="BU13" s="91">
        <v>370.79300000000001</v>
      </c>
      <c r="BV13" s="91">
        <v>1363.7639999999999</v>
      </c>
      <c r="BW13" s="30">
        <f t="shared" si="33"/>
        <v>4.3399997303077456</v>
      </c>
      <c r="BX13" s="91">
        <f t="shared" si="34"/>
        <v>105.97178881473208</v>
      </c>
      <c r="BY13" s="91">
        <f>BU13/BU8*100</f>
        <v>17.196197101449275</v>
      </c>
      <c r="BZ13" s="91">
        <v>439.62900000000002</v>
      </c>
      <c r="CA13" s="91">
        <v>1616.941</v>
      </c>
      <c r="CB13" s="30">
        <f t="shared" si="35"/>
        <v>4.3400011828155103</v>
      </c>
      <c r="CC13" s="91">
        <f t="shared" si="36"/>
        <v>100.00003346792292</v>
      </c>
      <c r="CD13" s="91">
        <f>BZ13/BZ8*100</f>
        <v>12.75873477454574</v>
      </c>
      <c r="CE13" s="91">
        <f t="shared" si="43"/>
        <v>1102.8560000000002</v>
      </c>
      <c r="CF13" s="91">
        <f t="shared" si="44"/>
        <v>4056.268</v>
      </c>
      <c r="CG13" s="28">
        <f t="shared" si="39"/>
        <v>4.3400010880840281</v>
      </c>
      <c r="CH13" s="92">
        <f>CE13/CE8*100</f>
        <v>13.997975803567151</v>
      </c>
      <c r="CJ13" s="34">
        <f t="shared" si="40"/>
        <v>4926.5700000000006</v>
      </c>
      <c r="CK13" s="34">
        <f t="shared" si="41"/>
        <v>17327.243000000002</v>
      </c>
    </row>
    <row r="14" spans="1:89" ht="97.5" customHeight="1">
      <c r="A14" s="5" t="s">
        <v>26</v>
      </c>
      <c r="B14" s="10" t="s">
        <v>7</v>
      </c>
      <c r="C14" s="38">
        <f>SUM(C4:C8)</f>
        <v>69913.95</v>
      </c>
      <c r="D14" s="38">
        <f>SUM(D4:D8)</f>
        <v>208483.80699999994</v>
      </c>
      <c r="E14" s="30">
        <f>(D14/C14)*1.18</f>
        <v>3.5187668878671561</v>
      </c>
      <c r="F14" s="17"/>
      <c r="G14" s="38">
        <f>SUM(G4:G8)</f>
        <v>100</v>
      </c>
      <c r="H14" s="38">
        <f>SUM(H4:H8)</f>
        <v>74542.676999999996</v>
      </c>
      <c r="I14" s="38">
        <f>SUM(I4:I8)</f>
        <v>222359.90800000002</v>
      </c>
      <c r="J14" s="38">
        <f>(I14/H14)*1.18</f>
        <v>3.5199257928448162</v>
      </c>
      <c r="K14" s="17">
        <f t="shared" si="13"/>
        <v>100.03293497451213</v>
      </c>
      <c r="L14" s="38">
        <f>SUM(L4:L8)</f>
        <v>100</v>
      </c>
      <c r="M14" s="38">
        <f>SUM(M4:M8)</f>
        <v>72987.835000000006</v>
      </c>
      <c r="N14" s="38">
        <f>SUM(N4:N8)</f>
        <v>217812.23400000005</v>
      </c>
      <c r="O14" s="38">
        <f>(N14/M14)*1.18</f>
        <v>3.5213873122829304</v>
      </c>
      <c r="P14" s="17">
        <f t="shared" si="14"/>
        <v>100.04152131391761</v>
      </c>
      <c r="Q14" s="38">
        <f>SUM(Q4:Q8)</f>
        <v>99.999999999999986</v>
      </c>
      <c r="R14" s="38">
        <f>SUM(R4:R8)</f>
        <v>68857.384000000005</v>
      </c>
      <c r="S14" s="38">
        <f>SUM(S4:S8)</f>
        <v>200295.212</v>
      </c>
      <c r="T14" s="38">
        <f>(S14/R14)*1.18</f>
        <v>3.4324328986997235</v>
      </c>
      <c r="U14" s="17">
        <f t="shared" si="15"/>
        <v>97.47388157863449</v>
      </c>
      <c r="V14" s="38">
        <f>SUM(V4:V8)</f>
        <v>100</v>
      </c>
      <c r="W14" s="38">
        <f>SUM(W4:W8)</f>
        <v>69444.010999999999</v>
      </c>
      <c r="X14" s="38">
        <f>SUM(X4:X8)</f>
        <v>209549.86600000001</v>
      </c>
      <c r="Y14" s="38">
        <f>(X14/W14)*1.18</f>
        <v>3.5606935474968462</v>
      </c>
      <c r="Z14" s="17">
        <f t="shared" si="17"/>
        <v>103.73672705577756</v>
      </c>
      <c r="AA14" s="25">
        <f>SUM(AA4:AA9)</f>
        <v>106.11544206189058</v>
      </c>
      <c r="AB14" s="38">
        <f>SUM(AB4:AB8)</f>
        <v>64852.911</v>
      </c>
      <c r="AC14" s="38">
        <f>SUM(AC4:AC8)</f>
        <v>197200.454</v>
      </c>
      <c r="AD14" s="38">
        <f>(AC14/AB14)*1.18</f>
        <v>3.5880661659119664</v>
      </c>
      <c r="AE14" s="17">
        <f t="shared" si="19"/>
        <v>100.76874401152448</v>
      </c>
      <c r="AF14" s="25">
        <f>SUM(AF4:AF8)</f>
        <v>100</v>
      </c>
      <c r="AG14" s="37">
        <f>SUM(AG4:AG8)</f>
        <v>71310.34</v>
      </c>
      <c r="AH14" s="38">
        <f>SUM(AH4:AH8)</f>
        <v>218593.40399999998</v>
      </c>
      <c r="AI14" s="38">
        <f>(AH14/AG14)*1.18</f>
        <v>3.6171502859192644</v>
      </c>
      <c r="AJ14" s="17">
        <f t="shared" si="21"/>
        <v>100.81057925529937</v>
      </c>
      <c r="AK14" s="25">
        <f>SUM(AK4:AK8)</f>
        <v>100</v>
      </c>
      <c r="AL14" s="38">
        <f>SUM(AL4:AL8)</f>
        <v>421995.15800000005</v>
      </c>
      <c r="AM14" s="38">
        <f>SUM(AM4:AM8)</f>
        <v>1265811.078</v>
      </c>
      <c r="AN14" s="26">
        <f t="shared" si="25"/>
        <v>3.5395123468217604</v>
      </c>
      <c r="AO14" s="25">
        <f>SUM(AO4:AO8)</f>
        <v>99.999999999999986</v>
      </c>
      <c r="AP14" s="38">
        <f>SUM(AP4:AP8)</f>
        <v>77915.888000000006</v>
      </c>
      <c r="AQ14" s="38">
        <f>SUM(AQ4:AQ8)</f>
        <v>255609.48200000002</v>
      </c>
      <c r="AR14" s="30">
        <f>(AQ14/AP14)*1.18</f>
        <v>3.8710870979228265</v>
      </c>
      <c r="AS14" s="17">
        <f t="shared" si="8"/>
        <v>107.02035558190876</v>
      </c>
      <c r="AT14" s="25">
        <f>SUM(AT4:AT8)</f>
        <v>99.999999999999972</v>
      </c>
      <c r="AU14" s="38">
        <f>SUM(AU4:AU8)</f>
        <v>82713.766000000003</v>
      </c>
      <c r="AV14" s="38">
        <f>SUM(AV4:AV8)</f>
        <v>271289.217</v>
      </c>
      <c r="AW14" s="30">
        <f>(AV14/AU14)*1.18</f>
        <v>3.870229727661052</v>
      </c>
      <c r="AX14" s="17">
        <f t="shared" si="26"/>
        <v>99.977851951142242</v>
      </c>
      <c r="AY14" s="25">
        <f>SUM(AY4:AY8)</f>
        <v>100</v>
      </c>
      <c r="AZ14" s="38">
        <f>SUM(AZ4:AZ8)</f>
        <v>78425.737999999998</v>
      </c>
      <c r="BA14" s="38">
        <f>SUM(BA4:BA8)</f>
        <v>256367.04000000004</v>
      </c>
      <c r="BB14" s="30">
        <f>(BA14/AZ14)*1.18</f>
        <v>3.8573192285420386</v>
      </c>
      <c r="BC14" s="17">
        <f t="shared" si="27"/>
        <v>99.666415173581541</v>
      </c>
      <c r="BD14" s="25">
        <f>SUM(BD4:BD8)</f>
        <v>100</v>
      </c>
      <c r="BE14" s="38">
        <f>SUM(BE4:BE8)</f>
        <v>661050.55000000005</v>
      </c>
      <c r="BF14" s="38">
        <f>SUM(BF4:BF8)</f>
        <v>2049076.817</v>
      </c>
      <c r="BG14" s="30">
        <f>(BF14/BE14)*1.18</f>
        <v>3.6576788931799538</v>
      </c>
      <c r="BH14" s="25">
        <f>SUM(BH4:BH8)</f>
        <v>99.999999999999986</v>
      </c>
      <c r="BI14" s="25">
        <v>677392.4166</v>
      </c>
      <c r="BJ14" s="25">
        <v>1968183.7049999998</v>
      </c>
      <c r="BK14" s="30">
        <v>3.4285249066663375</v>
      </c>
      <c r="BL14" s="25">
        <v>100</v>
      </c>
      <c r="BM14" s="17">
        <f t="shared" si="28"/>
        <v>97.587533282107913</v>
      </c>
      <c r="BN14" s="17">
        <f t="shared" si="29"/>
        <v>104.11003870190055</v>
      </c>
      <c r="BO14" s="17">
        <f t="shared" si="30"/>
        <v>106.68374863102366</v>
      </c>
      <c r="BP14" s="25">
        <f>SUM(BP4:BP8)</f>
        <v>73864.633999999991</v>
      </c>
      <c r="BQ14" s="25">
        <f>SUM(BQ4:BQ8)</f>
        <v>238865.27999999997</v>
      </c>
      <c r="BR14" s="30">
        <f t="shared" si="31"/>
        <v>3.8159131797769414</v>
      </c>
      <c r="BS14" s="25">
        <f t="shared" si="32"/>
        <v>98.926558930909451</v>
      </c>
      <c r="BT14" s="25">
        <f>SUM(BT4:BT8)</f>
        <v>100.00000000000001</v>
      </c>
      <c r="BU14" s="25">
        <f>SUM(BU4:BU8)</f>
        <v>72169.58</v>
      </c>
      <c r="BV14" s="38">
        <f>SUM(BV4:BV8)</f>
        <v>235456.12699999998</v>
      </c>
      <c r="BW14" s="30">
        <f t="shared" si="33"/>
        <v>3.8497969623766686</v>
      </c>
      <c r="BX14" s="25">
        <f t="shared" si="34"/>
        <v>105.25245858937851</v>
      </c>
      <c r="BY14" s="25">
        <f>SUM(BY4:BY8)</f>
        <v>100.00000000000001</v>
      </c>
      <c r="BZ14" s="25">
        <f>SUM(BZ4:BZ8)</f>
        <v>79516.02</v>
      </c>
      <c r="CA14" s="38">
        <f>SUM(CA4:CA8)</f>
        <v>255911.47899999999</v>
      </c>
      <c r="CB14" s="30">
        <f t="shared" si="35"/>
        <v>3.7976692648852386</v>
      </c>
      <c r="CC14" s="25">
        <f t="shared" si="36"/>
        <v>98.645962423450797</v>
      </c>
      <c r="CD14" s="25">
        <f>SUM(CD4:CD8)</f>
        <v>100</v>
      </c>
      <c r="CE14" s="25">
        <f>SUM(CE4:CE8)</f>
        <v>225550.234</v>
      </c>
      <c r="CF14" s="38">
        <f>SUM(CF4:CF8)</f>
        <v>730232.88600000006</v>
      </c>
      <c r="CG14" s="28">
        <f t="shared" si="39"/>
        <v>3.820323261025746</v>
      </c>
      <c r="CH14" s="25">
        <f>CH4+CH5+CH6+CH7+CH8</f>
        <v>100.00000000000001</v>
      </c>
      <c r="CJ14" s="75">
        <f t="shared" si="40"/>
        <v>886600.78399999999</v>
      </c>
      <c r="CK14" s="75">
        <f t="shared" si="41"/>
        <v>2779309.7030000002</v>
      </c>
    </row>
    <row r="15" spans="1:89" ht="112.5" customHeight="1">
      <c r="B15" s="35" t="s">
        <v>16</v>
      </c>
      <c r="G15" s="34"/>
      <c r="S15" s="99"/>
      <c r="T15" s="99"/>
      <c r="U15" s="99"/>
      <c r="V15" s="99"/>
      <c r="AU15" s="34">
        <f>AU9+AU10+AU11+AU12+AU13</f>
        <v>2916.74</v>
      </c>
      <c r="AV15" s="34">
        <f>AV9+AV10+AV11+AV12+AV13</f>
        <v>10727.674000000001</v>
      </c>
      <c r="BH15" s="34"/>
      <c r="BI15" s="34"/>
      <c r="BJ15" s="34"/>
      <c r="BK15" s="34"/>
      <c r="BL15" s="34"/>
      <c r="BR15" s="99"/>
      <c r="CE15" s="34"/>
      <c r="CF15" s="34"/>
    </row>
    <row r="16" spans="1:89" ht="28.5" customHeight="1">
      <c r="B16" s="35"/>
    </row>
    <row r="17" spans="2:2" ht="12" customHeight="1">
      <c r="B17" s="379"/>
    </row>
    <row r="18" spans="2:2" ht="21.75" customHeight="1">
      <c r="B18" s="380"/>
    </row>
    <row r="22" spans="2:2">
      <c r="B22" s="5"/>
    </row>
    <row r="23" spans="2:2">
      <c r="B23" s="5"/>
    </row>
    <row r="24" spans="2:2">
      <c r="B24" s="5"/>
    </row>
    <row r="25" spans="2:2">
      <c r="B25" s="5"/>
    </row>
    <row r="26" spans="2:2">
      <c r="B26" s="5"/>
    </row>
    <row r="27" spans="2:2">
      <c r="B27" s="5"/>
    </row>
    <row r="28" spans="2:2">
      <c r="B28" s="5"/>
    </row>
    <row r="29" spans="2:2">
      <c r="B29" s="5"/>
    </row>
    <row r="30" spans="2:2">
      <c r="B30" s="5"/>
    </row>
    <row r="31" spans="2:2">
      <c r="B31" s="5"/>
    </row>
    <row r="32" spans="2:2">
      <c r="B32" s="5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</sheetData>
  <mergeCells count="20">
    <mergeCell ref="CE2:CH2"/>
    <mergeCell ref="B1:V1"/>
    <mergeCell ref="R2:V2"/>
    <mergeCell ref="AP2:AT2"/>
    <mergeCell ref="BE2:BH2"/>
    <mergeCell ref="BI2:BL2"/>
    <mergeCell ref="BZ2:CD2"/>
    <mergeCell ref="BP2:BT2"/>
    <mergeCell ref="BU2:BY2"/>
    <mergeCell ref="BM2:BO2"/>
    <mergeCell ref="AZ2:BD2"/>
    <mergeCell ref="AU2:AY2"/>
    <mergeCell ref="B17:B18"/>
    <mergeCell ref="H2:L2"/>
    <mergeCell ref="C2:G2"/>
    <mergeCell ref="M2:Q2"/>
    <mergeCell ref="AL2:AO2"/>
    <mergeCell ref="AG2:AK2"/>
    <mergeCell ref="AB2:AF2"/>
    <mergeCell ref="W2:AA2"/>
  </mergeCells>
  <pageMargins left="0.70866141732283472" right="0.51181102362204722" top="0.55118110236220474" bottom="0.55118110236220474" header="0.31496062992125984" footer="0.31496062992125984"/>
  <pageSetup paperSize="9" scale="58" fitToHeight="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/>
  <sheetData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/>
  <sheetData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/>
  <sheetData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14" sqref="P14"/>
    </sheetView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CZ47"/>
  <sheetViews>
    <sheetView tabSelected="1" view="pageBreakPreview" topLeftCell="C1" zoomScale="50" zoomScaleNormal="40" zoomScaleSheetLayoutView="50" workbookViewId="0">
      <pane xSplit="2" topLeftCell="BV1" activePane="topRight" state="frozen"/>
      <selection activeCell="C1" sqref="C1"/>
      <selection pane="topRight" activeCell="CG10" sqref="CG10"/>
    </sheetView>
  </sheetViews>
  <sheetFormatPr defaultRowHeight="15.75"/>
  <cols>
    <col min="1" max="2" width="26.7109375" style="5" customWidth="1"/>
    <col min="3" max="3" width="55.42578125" style="6" customWidth="1"/>
    <col min="4" max="4" width="20.7109375" style="5" hidden="1" customWidth="1"/>
    <col min="5" max="5" width="24.5703125" style="5" hidden="1" customWidth="1"/>
    <col min="6" max="6" width="23.5703125" style="5" hidden="1" customWidth="1"/>
    <col min="7" max="7" width="23" style="318" hidden="1" customWidth="1"/>
    <col min="8" max="8" width="0.140625" style="5" hidden="1" customWidth="1"/>
    <col min="9" max="9" width="23.7109375" style="5" hidden="1" customWidth="1"/>
    <col min="10" max="10" width="24.140625" style="5" customWidth="1"/>
    <col min="11" max="13" width="20.7109375" style="5" customWidth="1"/>
    <col min="14" max="14" width="17.5703125" style="5" customWidth="1"/>
    <col min="15" max="15" width="25.42578125" style="5" customWidth="1"/>
    <col min="16" max="16" width="25.7109375" style="5" customWidth="1"/>
    <col min="17" max="17" width="23.28515625" style="5" customWidth="1"/>
    <col min="18" max="18" width="23" style="5" customWidth="1"/>
    <col min="19" max="19" width="20.7109375" style="5" customWidth="1"/>
    <col min="20" max="20" width="26.140625" style="5" customWidth="1"/>
    <col min="21" max="21" width="25.5703125" style="5" customWidth="1"/>
    <col min="22" max="22" width="23.5703125" style="5" customWidth="1"/>
    <col min="23" max="23" width="23" style="5" customWidth="1"/>
    <col min="24" max="24" width="20.7109375" style="5" customWidth="1"/>
    <col min="25" max="25" width="27.28515625" style="5" customWidth="1"/>
    <col min="26" max="26" width="28.140625" style="5" customWidth="1"/>
    <col min="27" max="27" width="24" style="5" customWidth="1"/>
    <col min="28" max="28" width="20.7109375" style="5" customWidth="1"/>
    <col min="29" max="29" width="28.5703125" style="5" customWidth="1"/>
    <col min="30" max="30" width="28.85546875" style="5" customWidth="1"/>
    <col min="31" max="31" width="23.28515625" style="5" customWidth="1"/>
    <col min="32" max="32" width="26.42578125" style="5" customWidth="1"/>
    <col min="33" max="33" width="20.7109375" style="5" customWidth="1"/>
    <col min="34" max="34" width="25.5703125" style="5" customWidth="1"/>
    <col min="35" max="35" width="27.140625" style="5" customWidth="1"/>
    <col min="36" max="36" width="25.85546875" style="5" customWidth="1"/>
    <col min="37" max="37" width="24.42578125" style="5" customWidth="1"/>
    <col min="38" max="38" width="20.7109375" style="5" customWidth="1"/>
    <col min="39" max="39" width="23.5703125" style="5" customWidth="1"/>
    <col min="40" max="40" width="25.28515625" style="5" customWidth="1"/>
    <col min="41" max="41" width="23.85546875" style="5" customWidth="1"/>
    <col min="42" max="42" width="25.28515625" style="5" customWidth="1"/>
    <col min="43" max="43" width="20.7109375" style="5" customWidth="1"/>
    <col min="44" max="44" width="29.28515625" style="5" customWidth="1"/>
    <col min="45" max="45" width="25.7109375" style="5" customWidth="1"/>
    <col min="46" max="46" width="20.5703125" style="5" customWidth="1"/>
    <col min="47" max="47" width="20.7109375" style="5" customWidth="1"/>
    <col min="48" max="48" width="28.5703125" style="5" customWidth="1"/>
    <col min="49" max="49" width="31.28515625" style="5" customWidth="1"/>
    <col min="50" max="50" width="20.28515625" style="5" customWidth="1"/>
    <col min="51" max="52" width="20.7109375" style="5" customWidth="1"/>
    <col min="53" max="53" width="27.85546875" style="5" customWidth="1"/>
    <col min="54" max="54" width="26.42578125" style="5" customWidth="1"/>
    <col min="55" max="57" width="20.7109375" style="5" customWidth="1"/>
    <col min="58" max="58" width="23.85546875" style="5" customWidth="1"/>
    <col min="59" max="59" width="24.140625" style="5" customWidth="1"/>
    <col min="60" max="60" width="19.5703125" style="5" customWidth="1"/>
    <col min="61" max="61" width="20.7109375" style="5" customWidth="1"/>
    <col min="62" max="62" width="18.140625" style="5" customWidth="1"/>
    <col min="63" max="63" width="20.7109375" style="5" customWidth="1"/>
    <col min="64" max="64" width="24.85546875" style="5" customWidth="1"/>
    <col min="65" max="66" width="20.7109375" style="5" customWidth="1"/>
    <col min="67" max="67" width="16.85546875" style="5" customWidth="1"/>
    <col min="68" max="68" width="22.85546875" style="5" customWidth="1"/>
    <col min="69" max="69" width="25.7109375" style="5" customWidth="1"/>
    <col min="70" max="70" width="22.42578125" style="5" customWidth="1"/>
    <col min="71" max="72" width="20.7109375" style="5" customWidth="1"/>
    <col min="73" max="73" width="24" style="5" customWidth="1"/>
    <col min="74" max="74" width="28.5703125" style="5" customWidth="1"/>
    <col min="75" max="75" width="20.7109375" style="5" customWidth="1"/>
    <col min="76" max="76" width="24.7109375" style="5" customWidth="1"/>
    <col min="77" max="77" width="20.7109375" style="5" customWidth="1"/>
    <col min="78" max="78" width="25.42578125" style="5" customWidth="1"/>
    <col min="79" max="79" width="27.5703125" style="5" customWidth="1"/>
    <col min="80" max="82" width="20.7109375" style="5" customWidth="1"/>
    <col min="83" max="83" width="27.140625" style="5" customWidth="1"/>
    <col min="84" max="84" width="30" style="5" customWidth="1"/>
    <col min="85" max="87" width="20.7109375" style="5" customWidth="1"/>
    <col min="88" max="88" width="28.28515625" style="5" customWidth="1"/>
    <col min="89" max="89" width="27.5703125" style="5" customWidth="1"/>
    <col min="90" max="90" width="20.7109375" style="5" customWidth="1"/>
    <col min="91" max="91" width="0.28515625" style="5" customWidth="1"/>
    <col min="92" max="92" width="20.7109375" style="5" customWidth="1"/>
    <col min="93" max="93" width="29.5703125" style="5" customWidth="1"/>
    <col min="94" max="94" width="32.5703125" style="5" customWidth="1"/>
    <col min="95" max="95" width="20.5703125" style="5" customWidth="1"/>
    <col min="96" max="96" width="0.140625" style="5" customWidth="1"/>
    <col min="97" max="97" width="18.7109375" style="5" customWidth="1"/>
    <col min="98" max="98" width="29.140625" style="5" customWidth="1"/>
    <col min="99" max="99" width="29.85546875" style="5" customWidth="1"/>
    <col min="100" max="100" width="22" style="5" customWidth="1"/>
    <col min="101" max="101" width="0.28515625" style="5" customWidth="1"/>
    <col min="102" max="102" width="17.42578125" style="5" customWidth="1"/>
    <col min="103" max="103" width="9.140625" style="5"/>
    <col min="104" max="104" width="16.42578125" style="5" bestFit="1" customWidth="1"/>
    <col min="105" max="16384" width="9.140625" style="5"/>
  </cols>
  <sheetData>
    <row r="1" spans="1:104" ht="22.5" customHeight="1">
      <c r="AW1" s="266"/>
      <c r="AX1" s="266"/>
      <c r="AY1" s="266"/>
      <c r="AZ1" s="266"/>
      <c r="BA1" s="266"/>
      <c r="BB1" s="266"/>
      <c r="BC1" s="266"/>
      <c r="BD1" s="266"/>
      <c r="BE1" s="266"/>
      <c r="BF1" s="266"/>
      <c r="BG1" s="266"/>
      <c r="BH1" s="266"/>
      <c r="BI1" s="266"/>
      <c r="BJ1" s="266"/>
      <c r="BK1" s="266"/>
      <c r="BL1" s="266"/>
      <c r="BM1" s="266"/>
      <c r="BN1" s="266"/>
      <c r="BO1" s="266"/>
      <c r="BP1" s="266"/>
      <c r="BQ1" s="266"/>
      <c r="BR1" s="266"/>
      <c r="BS1" s="266"/>
      <c r="BT1" s="266"/>
      <c r="CQ1" s="411" t="s">
        <v>99</v>
      </c>
      <c r="CR1" s="411"/>
      <c r="CS1" s="411"/>
      <c r="CT1" s="411"/>
    </row>
    <row r="2" spans="1:104" ht="37.5" customHeight="1" thickBot="1">
      <c r="B2" s="410" t="s">
        <v>118</v>
      </c>
      <c r="C2" s="410"/>
      <c r="D2" s="410"/>
      <c r="E2" s="410"/>
      <c r="F2" s="410"/>
      <c r="G2" s="410"/>
      <c r="H2" s="410"/>
      <c r="I2" s="410"/>
      <c r="J2" s="410"/>
      <c r="K2" s="410"/>
      <c r="L2" s="410"/>
      <c r="M2" s="410"/>
      <c r="N2" s="410"/>
      <c r="O2" s="410"/>
      <c r="P2" s="410"/>
      <c r="Q2" s="410"/>
      <c r="R2" s="410"/>
      <c r="S2" s="410"/>
      <c r="T2" s="410"/>
      <c r="U2" s="410"/>
      <c r="V2" s="410"/>
      <c r="W2" s="410"/>
      <c r="X2" s="410"/>
      <c r="Y2" s="410"/>
      <c r="Z2" s="410"/>
      <c r="AA2" s="410"/>
      <c r="AB2" s="410"/>
      <c r="AC2" s="410"/>
      <c r="AD2" s="410"/>
      <c r="AE2" s="410"/>
      <c r="AF2" s="410"/>
      <c r="AG2" s="410"/>
      <c r="AH2" s="410"/>
      <c r="AI2" s="410"/>
      <c r="AJ2" s="410"/>
      <c r="AK2" s="410"/>
      <c r="AL2" s="410"/>
      <c r="AM2" s="410"/>
      <c r="AN2" s="410"/>
      <c r="AO2" s="410"/>
      <c r="AP2" s="410"/>
      <c r="AQ2" s="410"/>
      <c r="AR2" s="410"/>
      <c r="AS2" s="410"/>
      <c r="AT2" s="410"/>
      <c r="AU2" s="410"/>
      <c r="AV2" s="410"/>
      <c r="AW2" s="410"/>
      <c r="AX2" s="410"/>
      <c r="AY2" s="410"/>
      <c r="AZ2" s="410"/>
      <c r="BA2" s="244"/>
      <c r="BB2" s="244"/>
      <c r="BC2" s="244"/>
      <c r="BD2" s="244"/>
      <c r="BE2" s="244"/>
      <c r="BF2" s="244"/>
      <c r="BG2" s="244"/>
      <c r="BH2" s="244"/>
      <c r="BI2" s="244"/>
      <c r="BJ2" s="244"/>
      <c r="BK2" s="244"/>
      <c r="BL2" s="244"/>
      <c r="BM2" s="244"/>
      <c r="BN2" s="244"/>
      <c r="BO2" s="244"/>
      <c r="BP2" s="244"/>
      <c r="BQ2" s="244"/>
      <c r="BR2" s="244"/>
      <c r="BS2" s="244"/>
      <c r="BT2" s="244"/>
      <c r="BU2" s="244"/>
      <c r="BV2" s="244"/>
      <c r="BW2" s="244"/>
      <c r="BX2" s="244"/>
      <c r="BY2" s="244"/>
      <c r="BZ2" s="244"/>
      <c r="CA2" s="244"/>
      <c r="CB2" s="244"/>
      <c r="CC2" s="244"/>
      <c r="CD2" s="244"/>
      <c r="CE2" s="244"/>
      <c r="CF2" s="244"/>
      <c r="CG2" s="244"/>
      <c r="CH2" s="244"/>
      <c r="CI2" s="244"/>
      <c r="CJ2" s="244"/>
      <c r="CK2" s="244"/>
      <c r="CL2" s="244"/>
      <c r="CM2" s="244"/>
      <c r="CN2" s="244"/>
      <c r="CO2" s="244"/>
      <c r="CP2" s="244"/>
      <c r="CQ2" s="244"/>
      <c r="CR2" s="244"/>
      <c r="CS2" s="244"/>
    </row>
    <row r="3" spans="1:104" ht="21.75" customHeight="1" thickBot="1">
      <c r="B3" s="322"/>
      <c r="C3" s="322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0"/>
      <c r="AA3" s="330"/>
      <c r="AB3" s="330"/>
      <c r="AC3" s="330"/>
      <c r="AD3" s="330"/>
      <c r="AE3" s="330"/>
      <c r="AF3" s="330"/>
      <c r="AG3" s="330"/>
      <c r="AH3" s="330"/>
      <c r="AI3" s="330"/>
      <c r="AJ3" s="330"/>
      <c r="AK3" s="330"/>
      <c r="AL3" s="330"/>
      <c r="AM3" s="330"/>
      <c r="AN3" s="330"/>
      <c r="AO3" s="330"/>
      <c r="AP3" s="330"/>
      <c r="AQ3" s="330"/>
      <c r="AR3" s="330"/>
      <c r="AS3" s="330"/>
      <c r="AT3" s="330"/>
      <c r="AU3" s="330"/>
      <c r="AV3" s="330"/>
      <c r="AW3" s="330"/>
      <c r="AX3" s="330"/>
      <c r="AY3" s="330"/>
      <c r="AZ3" s="330"/>
      <c r="BA3" s="331"/>
      <c r="BB3" s="331"/>
      <c r="BC3" s="331"/>
      <c r="BD3" s="331"/>
      <c r="BE3" s="331"/>
      <c r="BF3" s="331"/>
      <c r="BG3" s="331"/>
      <c r="BH3" s="331"/>
      <c r="BI3" s="331"/>
      <c r="BJ3" s="331"/>
      <c r="BK3" s="331"/>
      <c r="BL3" s="331"/>
      <c r="BM3" s="331"/>
      <c r="BN3" s="331"/>
      <c r="BO3" s="331"/>
      <c r="BP3" s="331"/>
      <c r="BQ3" s="331"/>
      <c r="BR3" s="331"/>
      <c r="BS3" s="331"/>
      <c r="BT3" s="331"/>
      <c r="BU3" s="331"/>
      <c r="BV3" s="331"/>
      <c r="BW3" s="331"/>
      <c r="BX3" s="331"/>
      <c r="BY3" s="331"/>
      <c r="BZ3" s="331"/>
      <c r="CA3" s="331"/>
      <c r="CB3" s="331"/>
      <c r="CC3" s="331"/>
      <c r="CD3" s="331"/>
      <c r="CE3" s="331"/>
      <c r="CF3" s="331"/>
      <c r="CG3" s="331"/>
      <c r="CH3" s="331"/>
      <c r="CI3" s="331"/>
      <c r="CJ3" s="331"/>
      <c r="CK3" s="331"/>
      <c r="CL3" s="331"/>
      <c r="CM3" s="331"/>
      <c r="CN3" s="331"/>
      <c r="CO3" s="331"/>
      <c r="CP3" s="331"/>
      <c r="CQ3" s="331"/>
      <c r="CR3" s="331"/>
      <c r="CS3" s="331"/>
    </row>
    <row r="4" spans="1:104" ht="5.25" customHeight="1" thickBot="1">
      <c r="B4" s="322"/>
      <c r="C4" s="322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  <c r="AA4" s="330"/>
      <c r="AB4" s="330"/>
      <c r="AC4" s="330"/>
      <c r="AD4" s="330"/>
      <c r="AE4" s="330"/>
      <c r="AF4" s="330"/>
      <c r="AG4" s="330"/>
      <c r="AH4" s="330"/>
      <c r="AI4" s="330"/>
      <c r="AJ4" s="330"/>
      <c r="AK4" s="330"/>
      <c r="AL4" s="330"/>
      <c r="AM4" s="330"/>
      <c r="AN4" s="330"/>
      <c r="AO4" s="330"/>
      <c r="AP4" s="330"/>
      <c r="AQ4" s="330"/>
      <c r="AR4" s="330"/>
      <c r="AS4" s="330"/>
      <c r="AT4" s="330"/>
      <c r="AU4" s="330"/>
      <c r="AV4" s="330"/>
      <c r="AW4" s="330"/>
      <c r="AX4" s="330"/>
      <c r="AY4" s="330"/>
      <c r="AZ4" s="330"/>
      <c r="BA4" s="331"/>
      <c r="BB4" s="331"/>
      <c r="BC4" s="331"/>
      <c r="BD4" s="331"/>
      <c r="BE4" s="331"/>
      <c r="BF4" s="331"/>
      <c r="BG4" s="331"/>
      <c r="BH4" s="331"/>
      <c r="BI4" s="331"/>
      <c r="BJ4" s="331"/>
      <c r="BK4" s="331"/>
      <c r="BL4" s="331"/>
      <c r="BM4" s="331"/>
      <c r="BN4" s="331"/>
      <c r="BO4" s="331"/>
      <c r="BP4" s="331"/>
      <c r="BQ4" s="331"/>
      <c r="BR4" s="331"/>
      <c r="BS4" s="331"/>
      <c r="BT4" s="331"/>
      <c r="BU4" s="331"/>
      <c r="BV4" s="331"/>
      <c r="BW4" s="331"/>
      <c r="BX4" s="331"/>
      <c r="BY4" s="331"/>
      <c r="BZ4" s="331"/>
      <c r="CA4" s="331"/>
      <c r="CB4" s="331"/>
      <c r="CC4" s="331"/>
      <c r="CD4" s="331"/>
      <c r="CE4" s="331"/>
      <c r="CF4" s="331"/>
      <c r="CG4" s="331"/>
      <c r="CH4" s="331"/>
      <c r="CI4" s="331"/>
      <c r="CJ4" s="331"/>
      <c r="CK4" s="331"/>
      <c r="CL4" s="331"/>
      <c r="CM4" s="331"/>
      <c r="CN4" s="331"/>
      <c r="CO4" s="331"/>
      <c r="CP4" s="331"/>
      <c r="CQ4" s="331"/>
      <c r="CR4" s="331"/>
      <c r="CS4" s="331"/>
    </row>
    <row r="5" spans="1:104" s="181" customFormat="1" ht="31.5" customHeight="1" thickBot="1">
      <c r="B5" s="412" t="s">
        <v>73</v>
      </c>
      <c r="C5" s="413" t="s">
        <v>8</v>
      </c>
      <c r="D5" s="402" t="s">
        <v>109</v>
      </c>
      <c r="E5" s="403"/>
      <c r="F5" s="404"/>
      <c r="G5" s="404"/>
      <c r="H5" s="404"/>
      <c r="I5" s="405"/>
      <c r="J5" s="399" t="s">
        <v>115</v>
      </c>
      <c r="K5" s="400"/>
      <c r="L5" s="400"/>
      <c r="M5" s="400"/>
      <c r="N5" s="401"/>
      <c r="O5" s="390" t="s">
        <v>119</v>
      </c>
      <c r="P5" s="391"/>
      <c r="Q5" s="391"/>
      <c r="R5" s="391"/>
      <c r="S5" s="392"/>
      <c r="T5" s="390" t="s">
        <v>120</v>
      </c>
      <c r="U5" s="391"/>
      <c r="V5" s="391"/>
      <c r="W5" s="391"/>
      <c r="X5" s="392"/>
      <c r="Y5" s="393" t="s">
        <v>121</v>
      </c>
      <c r="Z5" s="394"/>
      <c r="AA5" s="394"/>
      <c r="AB5" s="395"/>
      <c r="AC5" s="407" t="s">
        <v>123</v>
      </c>
      <c r="AD5" s="408"/>
      <c r="AE5" s="408"/>
      <c r="AF5" s="408"/>
      <c r="AG5" s="409"/>
      <c r="AH5" s="407" t="s">
        <v>124</v>
      </c>
      <c r="AI5" s="408"/>
      <c r="AJ5" s="408"/>
      <c r="AK5" s="408"/>
      <c r="AL5" s="409"/>
      <c r="AM5" s="407" t="s">
        <v>125</v>
      </c>
      <c r="AN5" s="408"/>
      <c r="AO5" s="408"/>
      <c r="AP5" s="408"/>
      <c r="AQ5" s="409"/>
      <c r="AR5" s="387" t="s">
        <v>126</v>
      </c>
      <c r="AS5" s="388"/>
      <c r="AT5" s="388"/>
      <c r="AU5" s="389"/>
      <c r="AV5" s="424" t="s">
        <v>127</v>
      </c>
      <c r="AW5" s="425"/>
      <c r="AX5" s="425"/>
      <c r="AY5" s="425"/>
      <c r="AZ5" s="426"/>
      <c r="BA5" s="420" t="s">
        <v>128</v>
      </c>
      <c r="BB5" s="408"/>
      <c r="BC5" s="408"/>
      <c r="BD5" s="408"/>
      <c r="BE5" s="409"/>
      <c r="BF5" s="407" t="s">
        <v>129</v>
      </c>
      <c r="BG5" s="408"/>
      <c r="BH5" s="408"/>
      <c r="BI5" s="408"/>
      <c r="BJ5" s="409"/>
      <c r="BK5" s="421" t="s">
        <v>133</v>
      </c>
      <c r="BL5" s="422"/>
      <c r="BM5" s="422"/>
      <c r="BN5" s="422"/>
      <c r="BO5" s="423"/>
      <c r="BP5" s="421" t="s">
        <v>134</v>
      </c>
      <c r="BQ5" s="422"/>
      <c r="BR5" s="422"/>
      <c r="BS5" s="422"/>
      <c r="BT5" s="423"/>
      <c r="BU5" s="417" t="s">
        <v>135</v>
      </c>
      <c r="BV5" s="418"/>
      <c r="BW5" s="418"/>
      <c r="BX5" s="418"/>
      <c r="BY5" s="419"/>
      <c r="BZ5" s="417" t="s">
        <v>136</v>
      </c>
      <c r="CA5" s="418"/>
      <c r="CB5" s="418"/>
      <c r="CC5" s="418"/>
      <c r="CD5" s="419"/>
      <c r="CE5" s="414" t="s">
        <v>137</v>
      </c>
      <c r="CF5" s="415"/>
      <c r="CG5" s="415"/>
      <c r="CH5" s="415"/>
      <c r="CI5" s="416"/>
      <c r="CJ5" s="414" t="s">
        <v>138</v>
      </c>
      <c r="CK5" s="415"/>
      <c r="CL5" s="415"/>
      <c r="CM5" s="415"/>
      <c r="CN5" s="416"/>
      <c r="CO5" s="396" t="s">
        <v>139</v>
      </c>
      <c r="CP5" s="397"/>
      <c r="CQ5" s="397"/>
      <c r="CR5" s="397"/>
      <c r="CS5" s="398"/>
      <c r="CT5" s="414" t="s">
        <v>140</v>
      </c>
      <c r="CU5" s="415"/>
      <c r="CV5" s="415"/>
      <c r="CW5" s="415"/>
      <c r="CX5" s="416"/>
    </row>
    <row r="6" spans="1:104" ht="132" customHeight="1" thickBot="1">
      <c r="B6" s="412"/>
      <c r="C6" s="413"/>
      <c r="D6" s="116" t="s">
        <v>90</v>
      </c>
      <c r="E6" s="124" t="s">
        <v>91</v>
      </c>
      <c r="F6" s="125" t="s">
        <v>95</v>
      </c>
      <c r="G6" s="125" t="s">
        <v>17</v>
      </c>
      <c r="H6" s="126" t="s">
        <v>51</v>
      </c>
      <c r="I6" s="127" t="s">
        <v>45</v>
      </c>
      <c r="J6" s="119" t="s">
        <v>91</v>
      </c>
      <c r="K6" s="120" t="s">
        <v>92</v>
      </c>
      <c r="L6" s="121" t="s">
        <v>17</v>
      </c>
      <c r="M6" s="117" t="s">
        <v>111</v>
      </c>
      <c r="N6" s="118" t="s">
        <v>45</v>
      </c>
      <c r="O6" s="122" t="s">
        <v>91</v>
      </c>
      <c r="P6" s="123" t="s">
        <v>92</v>
      </c>
      <c r="Q6" s="123" t="s">
        <v>17</v>
      </c>
      <c r="R6" s="123" t="s">
        <v>110</v>
      </c>
      <c r="S6" s="118" t="s">
        <v>45</v>
      </c>
      <c r="T6" s="122" t="s">
        <v>91</v>
      </c>
      <c r="U6" s="123" t="s">
        <v>92</v>
      </c>
      <c r="V6" s="123" t="s">
        <v>17</v>
      </c>
      <c r="W6" s="117" t="s">
        <v>110</v>
      </c>
      <c r="X6" s="118" t="s">
        <v>45</v>
      </c>
      <c r="Y6" s="122" t="s">
        <v>91</v>
      </c>
      <c r="Z6" s="123" t="s">
        <v>92</v>
      </c>
      <c r="AA6" s="123" t="s">
        <v>17</v>
      </c>
      <c r="AB6" s="118" t="s">
        <v>45</v>
      </c>
      <c r="AC6" s="124" t="s">
        <v>91</v>
      </c>
      <c r="AD6" s="125" t="s">
        <v>92</v>
      </c>
      <c r="AE6" s="125" t="s">
        <v>17</v>
      </c>
      <c r="AF6" s="126" t="s">
        <v>110</v>
      </c>
      <c r="AG6" s="127" t="s">
        <v>45</v>
      </c>
      <c r="AH6" s="124" t="s">
        <v>91</v>
      </c>
      <c r="AI6" s="125" t="s">
        <v>92</v>
      </c>
      <c r="AJ6" s="125" t="s">
        <v>17</v>
      </c>
      <c r="AK6" s="126" t="s">
        <v>110</v>
      </c>
      <c r="AL6" s="127" t="s">
        <v>45</v>
      </c>
      <c r="AM6" s="124" t="s">
        <v>91</v>
      </c>
      <c r="AN6" s="125" t="s">
        <v>92</v>
      </c>
      <c r="AO6" s="125" t="s">
        <v>17</v>
      </c>
      <c r="AP6" s="126" t="s">
        <v>110</v>
      </c>
      <c r="AQ6" s="127" t="s">
        <v>45</v>
      </c>
      <c r="AR6" s="124" t="s">
        <v>91</v>
      </c>
      <c r="AS6" s="125" t="s">
        <v>92</v>
      </c>
      <c r="AT6" s="125" t="s">
        <v>17</v>
      </c>
      <c r="AU6" s="138" t="s">
        <v>45</v>
      </c>
      <c r="AV6" s="124" t="s">
        <v>91</v>
      </c>
      <c r="AW6" s="125" t="s">
        <v>92</v>
      </c>
      <c r="AX6" s="125" t="s">
        <v>17</v>
      </c>
      <c r="AY6" s="126" t="s">
        <v>103</v>
      </c>
      <c r="AZ6" s="127" t="s">
        <v>45</v>
      </c>
      <c r="BA6" s="139" t="s">
        <v>91</v>
      </c>
      <c r="BB6" s="125" t="s">
        <v>92</v>
      </c>
      <c r="BC6" s="125" t="s">
        <v>17</v>
      </c>
      <c r="BD6" s="126" t="s">
        <v>110</v>
      </c>
      <c r="BE6" s="127" t="s">
        <v>45</v>
      </c>
      <c r="BF6" s="124" t="s">
        <v>91</v>
      </c>
      <c r="BG6" s="125" t="s">
        <v>95</v>
      </c>
      <c r="BH6" s="125" t="s">
        <v>17</v>
      </c>
      <c r="BI6" s="126" t="s">
        <v>110</v>
      </c>
      <c r="BJ6" s="127" t="s">
        <v>45</v>
      </c>
      <c r="BK6" s="124" t="s">
        <v>91</v>
      </c>
      <c r="BL6" s="125" t="s">
        <v>95</v>
      </c>
      <c r="BM6" s="125" t="s">
        <v>17</v>
      </c>
      <c r="BN6" s="126" t="s">
        <v>110</v>
      </c>
      <c r="BO6" s="127" t="s">
        <v>45</v>
      </c>
      <c r="BP6" s="124" t="s">
        <v>91</v>
      </c>
      <c r="BQ6" s="125" t="s">
        <v>95</v>
      </c>
      <c r="BR6" s="125" t="s">
        <v>17</v>
      </c>
      <c r="BS6" s="126" t="s">
        <v>103</v>
      </c>
      <c r="BT6" s="127" t="s">
        <v>45</v>
      </c>
      <c r="BU6" s="124" t="s">
        <v>91</v>
      </c>
      <c r="BV6" s="125" t="s">
        <v>95</v>
      </c>
      <c r="BW6" s="125" t="s">
        <v>17</v>
      </c>
      <c r="BX6" s="126" t="s">
        <v>110</v>
      </c>
      <c r="BY6" s="127" t="s">
        <v>45</v>
      </c>
      <c r="BZ6" s="124" t="s">
        <v>91</v>
      </c>
      <c r="CA6" s="125" t="s">
        <v>95</v>
      </c>
      <c r="CB6" s="125" t="s">
        <v>17</v>
      </c>
      <c r="CC6" s="126" t="s">
        <v>110</v>
      </c>
      <c r="CD6" s="127" t="s">
        <v>45</v>
      </c>
      <c r="CE6" s="124" t="s">
        <v>91</v>
      </c>
      <c r="CF6" s="125" t="s">
        <v>95</v>
      </c>
      <c r="CG6" s="125" t="s">
        <v>17</v>
      </c>
      <c r="CH6" s="126" t="s">
        <v>110</v>
      </c>
      <c r="CI6" s="127" t="s">
        <v>45</v>
      </c>
      <c r="CJ6" s="124" t="s">
        <v>91</v>
      </c>
      <c r="CK6" s="125" t="s">
        <v>95</v>
      </c>
      <c r="CL6" s="125" t="s">
        <v>17</v>
      </c>
      <c r="CM6" s="126" t="s">
        <v>103</v>
      </c>
      <c r="CN6" s="138" t="s">
        <v>45</v>
      </c>
      <c r="CO6" s="124" t="s">
        <v>91</v>
      </c>
      <c r="CP6" s="125" t="s">
        <v>95</v>
      </c>
      <c r="CQ6" s="125" t="s">
        <v>17</v>
      </c>
      <c r="CR6" s="126" t="s">
        <v>103</v>
      </c>
      <c r="CS6" s="125" t="s">
        <v>45</v>
      </c>
      <c r="CT6" s="139" t="s">
        <v>91</v>
      </c>
      <c r="CU6" s="125" t="s">
        <v>95</v>
      </c>
      <c r="CV6" s="125" t="s">
        <v>17</v>
      </c>
      <c r="CW6" s="126" t="s">
        <v>103</v>
      </c>
      <c r="CX6" s="127" t="s">
        <v>45</v>
      </c>
    </row>
    <row r="7" spans="1:104" ht="40.5" customHeight="1" thickBot="1">
      <c r="A7" s="5" t="s">
        <v>88</v>
      </c>
      <c r="B7" s="143" t="s">
        <v>74</v>
      </c>
      <c r="C7" s="233" t="s">
        <v>75</v>
      </c>
      <c r="D7" s="234">
        <f>SUM(D8:D11)</f>
        <v>76070.31</v>
      </c>
      <c r="E7" s="207">
        <f>SUM(E8:E11)</f>
        <v>66706.637000000002</v>
      </c>
      <c r="F7" s="207">
        <f>SUM(F8:F11)</f>
        <v>275884.766</v>
      </c>
      <c r="G7" s="196">
        <f>F7/E7</f>
        <v>4.1357918553141868</v>
      </c>
      <c r="H7" s="197" t="e">
        <f>G7/#REF!*100</f>
        <v>#REF!</v>
      </c>
      <c r="I7" s="206">
        <f>E7/E21*100</f>
        <v>98.208750506619126</v>
      </c>
      <c r="J7" s="206">
        <f>SUM(J8:J11)</f>
        <v>66019.951000000001</v>
      </c>
      <c r="K7" s="198">
        <f>SUM(K8:K11)</f>
        <v>271191.94400000002</v>
      </c>
      <c r="L7" s="199">
        <f>K7/J7</f>
        <v>4.1077271323633671</v>
      </c>
      <c r="M7" s="235">
        <f>L7/G7*100</f>
        <v>99.321418390174571</v>
      </c>
      <c r="N7" s="236">
        <f>J7/J21*100</f>
        <v>96.104754376474304</v>
      </c>
      <c r="O7" s="237">
        <f>SUM(O8:O11)</f>
        <v>78389.111000000004</v>
      </c>
      <c r="P7" s="238">
        <f>SUM(P8:P11)</f>
        <v>317454.103</v>
      </c>
      <c r="Q7" s="200">
        <f t="shared" ref="Q7:Q15" si="0">P7/O7</f>
        <v>4.0497219441613517</v>
      </c>
      <c r="R7" s="200">
        <f>Q7/L7*100</f>
        <v>98.587900648389891</v>
      </c>
      <c r="S7" s="239">
        <f>O7/O21*100</f>
        <v>97.757431070689336</v>
      </c>
      <c r="T7" s="237">
        <f>SUM(T8:T11)</f>
        <v>69826.425000000003</v>
      </c>
      <c r="U7" s="238">
        <f>SUM(U8:U11)</f>
        <v>287305.94899999996</v>
      </c>
      <c r="V7" s="200">
        <f>U7/T7</f>
        <v>4.1145733724732425</v>
      </c>
      <c r="W7" s="200">
        <f>V7/Q7*100</f>
        <v>101.60137977881148</v>
      </c>
      <c r="X7" s="239">
        <f>T7/T21*100</f>
        <v>96.771413954298637</v>
      </c>
      <c r="Y7" s="202">
        <f>(T7+O7+J7)</f>
        <v>214235.48700000002</v>
      </c>
      <c r="Z7" s="201">
        <f>(U7+P7+K7)</f>
        <v>875951.99599999993</v>
      </c>
      <c r="AA7" s="201">
        <f>Z7/Y7</f>
        <v>4.0887343561340046</v>
      </c>
      <c r="AB7" s="203">
        <f>Y7/Y21*100</f>
        <v>96.921927457810838</v>
      </c>
      <c r="AC7" s="202">
        <f>SUM(AC8:AC11)</f>
        <v>72309.122999999992</v>
      </c>
      <c r="AD7" s="201">
        <f>SUM(AD8:AD11)</f>
        <v>299403.76100000006</v>
      </c>
      <c r="AE7" s="201">
        <f>AD7/AC7</f>
        <v>4.1406083849198403</v>
      </c>
      <c r="AF7" s="201">
        <f t="shared" ref="AF7:AF21" si="1">AE7/AA7*100</f>
        <v>101.2687062613401</v>
      </c>
      <c r="AG7" s="203">
        <f>AC7/AC21*100</f>
        <v>96.792874897834821</v>
      </c>
      <c r="AH7" s="202">
        <f>SUM(AH8:AH11)</f>
        <v>64907.525999999998</v>
      </c>
      <c r="AI7" s="201">
        <f>SUM(AI8:AI11)</f>
        <v>273620.41599999997</v>
      </c>
      <c r="AJ7" s="201">
        <f>AI7/AH7</f>
        <v>4.2155422161676599</v>
      </c>
      <c r="AK7" s="201">
        <f>AJ7/AE7*100</f>
        <v>101.80972997882944</v>
      </c>
      <c r="AL7" s="203">
        <f>AH7/AH21*100</f>
        <v>96.150971815847939</v>
      </c>
      <c r="AM7" s="202">
        <f>SUM(AM8:AM11)</f>
        <v>80813.752999999997</v>
      </c>
      <c r="AN7" s="201">
        <f>SUM(AN8:AN11)</f>
        <v>338751.84700000001</v>
      </c>
      <c r="AO7" s="201">
        <f>AN7/AM7</f>
        <v>4.1917598728523355</v>
      </c>
      <c r="AP7" s="201">
        <f>AO7/AJ7*100</f>
        <v>99.435841415035213</v>
      </c>
      <c r="AQ7" s="354">
        <f>AM7/AM21*100</f>
        <v>96.025154356445626</v>
      </c>
      <c r="AR7" s="202">
        <f t="shared" ref="AR7:AS11" si="2">AM7+AH7+AC7</f>
        <v>218030.40199999997</v>
      </c>
      <c r="AS7" s="201">
        <f t="shared" si="2"/>
        <v>911776.02400000009</v>
      </c>
      <c r="AT7" s="201">
        <f>AS7/AR7</f>
        <v>4.1818756266843931</v>
      </c>
      <c r="AU7" s="241">
        <f>AR7/AR21*100</f>
        <v>96.31603230876317</v>
      </c>
      <c r="AV7" s="202">
        <f t="shared" ref="AV7:AW20" si="3">AR7+Y7</f>
        <v>432265.88899999997</v>
      </c>
      <c r="AW7" s="201">
        <f>AS7+Z7</f>
        <v>1787728.02</v>
      </c>
      <c r="AX7" s="201">
        <f>AW7/AV7</f>
        <v>4.1357138407004861</v>
      </c>
      <c r="AY7" s="201"/>
      <c r="AZ7" s="203">
        <f>AV7/AV21*100</f>
        <v>96.615370480667565</v>
      </c>
      <c r="BA7" s="255">
        <f>SUM(BA8:BA11)</f>
        <v>98930.61</v>
      </c>
      <c r="BB7" s="255">
        <f>SUM(BB8:BB11)</f>
        <v>440427.39500000002</v>
      </c>
      <c r="BC7" s="201">
        <f>BB7/BA7</f>
        <v>4.4518819301730783</v>
      </c>
      <c r="BD7" s="240">
        <f t="shared" ref="BD7:BD21" si="4">BC7/AO7*100</f>
        <v>106.2055572172778</v>
      </c>
      <c r="BE7" s="256">
        <f>BA7/BA21*100</f>
        <v>96.555567059257839</v>
      </c>
      <c r="BF7" s="202">
        <f>SUM(BF8:BF11)</f>
        <v>85934.736000000004</v>
      </c>
      <c r="BG7" s="201">
        <f>SUM(BG8:BG11)</f>
        <v>379892.43500000006</v>
      </c>
      <c r="BH7" s="201">
        <f>BG7/BF7</f>
        <v>4.4207086992156475</v>
      </c>
      <c r="BI7" s="240">
        <f>BH7/BC7*100</f>
        <v>99.299774085513121</v>
      </c>
      <c r="BJ7" s="261">
        <f>BF7/BF21*100</f>
        <v>96.611558541865776</v>
      </c>
      <c r="BK7" s="202">
        <f>SUM(BK8:BK11)</f>
        <v>65890.805999999997</v>
      </c>
      <c r="BL7" s="202">
        <f>SUM(BL8:BL11)</f>
        <v>288990.20500000002</v>
      </c>
      <c r="BM7" s="201">
        <f>BL7/BK7</f>
        <v>4.3858957348313519</v>
      </c>
      <c r="BN7" s="240">
        <f>BM7/BH7*100</f>
        <v>99.212502638084416</v>
      </c>
      <c r="BO7" s="203">
        <f>BK7/BK21*100</f>
        <v>88.336693366750268</v>
      </c>
      <c r="BP7" s="202">
        <f>SUM(BP8:BP11)</f>
        <v>250756.15200000003</v>
      </c>
      <c r="BQ7" s="202">
        <f>SUM(BQ8:BQ11)</f>
        <v>1109310.0350000001</v>
      </c>
      <c r="BR7" s="201">
        <f>BQ7/BP7</f>
        <v>4.4238596985648435</v>
      </c>
      <c r="BS7" s="240"/>
      <c r="BT7" s="203">
        <f>BP7/BP21*100</f>
        <v>94.269581991334277</v>
      </c>
      <c r="BU7" s="207">
        <f>SUM(BU8:BU11)</f>
        <v>63333.016000000003</v>
      </c>
      <c r="BV7" s="207">
        <f>SUM(BV8:BV11)</f>
        <v>276599.41399999999</v>
      </c>
      <c r="BW7" s="204">
        <f>BV7/BU7</f>
        <v>4.3673810512987412</v>
      </c>
      <c r="BX7" s="205">
        <f>BW7/BM7*100</f>
        <v>99.577858557248106</v>
      </c>
      <c r="BY7" s="206">
        <f>BU7/BU21*100</f>
        <v>87.533890643215045</v>
      </c>
      <c r="BZ7" s="207">
        <f>SUM(BZ8:BZ11)</f>
        <v>68002.398000000001</v>
      </c>
      <c r="CA7" s="207">
        <f>SUM(CA8:CA11)</f>
        <v>294742.424</v>
      </c>
      <c r="CB7" s="204">
        <f>CA7/BZ7</f>
        <v>4.3342945641416941</v>
      </c>
      <c r="CC7" s="205">
        <f>CB7/BW7*100</f>
        <v>99.24241812728458</v>
      </c>
      <c r="CD7" s="206">
        <f>BZ7/BZ21*100</f>
        <v>86.96610735705022</v>
      </c>
      <c r="CE7" s="207">
        <f>SUM(CE8:CE11)</f>
        <v>74348.311000000002</v>
      </c>
      <c r="CF7" s="207">
        <f>SUM(CF8:CF11)</f>
        <v>322114.902</v>
      </c>
      <c r="CG7" s="196">
        <f>CF7/CE7</f>
        <v>4.3325113599419893</v>
      </c>
      <c r="CH7" s="197">
        <f t="shared" ref="CH7:CH21" si="5">CG7/G7*100</f>
        <v>104.75651366194923</v>
      </c>
      <c r="CI7" s="206">
        <f>CE7/CE21*100</f>
        <v>86.465813396976728</v>
      </c>
      <c r="CJ7" s="207">
        <f>SUM(CJ8:CJ11)</f>
        <v>205683.72499999998</v>
      </c>
      <c r="CK7" s="207">
        <f>SUM(CK8:CK11)</f>
        <v>893456.74000000011</v>
      </c>
      <c r="CL7" s="204">
        <f>CK7/CJ7</f>
        <v>4.3438378024318656</v>
      </c>
      <c r="CM7" s="205"/>
      <c r="CN7" s="243">
        <f>CJ7/CJ21*100</f>
        <v>87.635190053821248</v>
      </c>
      <c r="CO7" s="207">
        <f>CJ7+BP7</f>
        <v>456439.87699999998</v>
      </c>
      <c r="CP7" s="204">
        <f>CK7+BQ7</f>
        <v>2002766.7750000004</v>
      </c>
      <c r="CQ7" s="204">
        <f>CP7/CO7</f>
        <v>4.3877997430097473</v>
      </c>
      <c r="CR7" s="204"/>
      <c r="CS7" s="204">
        <f>CO7/CO21*100</f>
        <v>91.159714411101291</v>
      </c>
      <c r="CT7" s="242">
        <f>SUM(CT8:CT11)</f>
        <v>888705.76600000006</v>
      </c>
      <c r="CU7" s="207">
        <f>SUM(CU8:CU11)</f>
        <v>3790494.7950000004</v>
      </c>
      <c r="CV7" s="204">
        <f>CU7/CT7</f>
        <v>4.2651853290664938</v>
      </c>
      <c r="CW7" s="205"/>
      <c r="CX7" s="206">
        <f>CT7/CT21*100</f>
        <v>93.553832232229666</v>
      </c>
    </row>
    <row r="8" spans="1:104" ht="67.5" customHeight="1" thickBot="1">
      <c r="A8" s="5" t="s">
        <v>23</v>
      </c>
      <c r="B8" s="180" t="s">
        <v>76</v>
      </c>
      <c r="C8" s="295" t="s">
        <v>13</v>
      </c>
      <c r="D8" s="296">
        <f>24.823+66.352</f>
        <v>91.175000000000011</v>
      </c>
      <c r="E8" s="113">
        <v>33.944000000000003</v>
      </c>
      <c r="F8" s="114">
        <v>187.37200000000001</v>
      </c>
      <c r="G8" s="182">
        <f t="shared" ref="G8:G21" si="6">F8/E8</f>
        <v>5.520032995522036</v>
      </c>
      <c r="H8" s="297" t="e">
        <f t="shared" ref="H8" si="7">G8/#REF!*100</f>
        <v>#REF!</v>
      </c>
      <c r="I8" s="298">
        <f>E8/E21*100</f>
        <v>4.9974005243236586E-2</v>
      </c>
      <c r="J8" s="184">
        <f>8.983+150.499</f>
        <v>159.482</v>
      </c>
      <c r="K8" s="112">
        <f>26.679+692.295</f>
        <v>718.97399999999993</v>
      </c>
      <c r="L8" s="185">
        <f t="shared" ref="L8:L20" si="8">K8/J8</f>
        <v>4.5081827416260136</v>
      </c>
      <c r="M8" s="323">
        <f>L8/G8*100</f>
        <v>81.66948902811167</v>
      </c>
      <c r="N8" s="187">
        <f>J8/J21*100</f>
        <v>0.23215676784535746</v>
      </c>
      <c r="O8" s="190">
        <f>3.425+179.458</f>
        <v>182.88300000000001</v>
      </c>
      <c r="P8" s="189">
        <f>12.207+990.608</f>
        <v>1002.8149999999999</v>
      </c>
      <c r="Q8" s="188">
        <f t="shared" si="0"/>
        <v>5.4833691485813327</v>
      </c>
      <c r="R8" s="189">
        <f>(Q8/L8)*100</f>
        <v>121.6314746505504</v>
      </c>
      <c r="S8" s="184">
        <f>O8/O21*100</f>
        <v>0.22806958821743592</v>
      </c>
      <c r="T8" s="333">
        <f>2.897+1.034</f>
        <v>3.931</v>
      </c>
      <c r="U8" s="332">
        <f>10.325+5.708</f>
        <v>16.033000000000001</v>
      </c>
      <c r="V8" s="332">
        <f>(U8/T8)</f>
        <v>4.0786059526837954</v>
      </c>
      <c r="W8" s="114">
        <f t="shared" ref="W8:W21" si="9">V8/Q8*100</f>
        <v>74.381385643879554</v>
      </c>
      <c r="X8" s="184">
        <f>T8/T21*100</f>
        <v>5.4479150014388961E-3</v>
      </c>
      <c r="Y8" s="190">
        <f t="shared" ref="Y8:Y20" si="10">(T8+O8+J8)</f>
        <v>346.29600000000005</v>
      </c>
      <c r="Z8" s="189">
        <f>(U8+P8+K8)</f>
        <v>1737.8219999999999</v>
      </c>
      <c r="AA8" s="189">
        <f>Z8/Y8</f>
        <v>5.0183138124610149</v>
      </c>
      <c r="AB8" s="191">
        <f>Y8/Y21*100</f>
        <v>0.15666720887809807</v>
      </c>
      <c r="AC8" s="113">
        <f>13.203+44.566</f>
        <v>57.769000000000005</v>
      </c>
      <c r="AD8" s="114">
        <f>47.055+246.004</f>
        <v>293.05899999999997</v>
      </c>
      <c r="AE8" s="189">
        <f t="shared" ref="AE8:AE21" si="11">AD8/AC8</f>
        <v>5.0729456975194296</v>
      </c>
      <c r="AF8" s="189">
        <f t="shared" si="1"/>
        <v>101.08865023392435</v>
      </c>
      <c r="AG8" s="184">
        <f>AC8/AC21*100</f>
        <v>7.732948980688123E-2</v>
      </c>
      <c r="AH8" s="113">
        <f>4.962+28.002</f>
        <v>32.963999999999999</v>
      </c>
      <c r="AI8" s="114">
        <f>17.685+154.571</f>
        <v>172.256</v>
      </c>
      <c r="AJ8" s="189">
        <f t="shared" ref="AJ8:AJ21" si="12">AI8/AH8</f>
        <v>5.2255794199733048</v>
      </c>
      <c r="AK8" s="189">
        <f t="shared" ref="AK8:AK21" si="13">AJ8/AE8*100</f>
        <v>103.00877895319303</v>
      </c>
      <c r="AL8" s="184">
        <f>AH8/AH21*100</f>
        <v>4.8831327124340122E-2</v>
      </c>
      <c r="AM8" s="190">
        <f>0.129+0.984</f>
        <v>1.113</v>
      </c>
      <c r="AN8" s="189">
        <f>0.383+4.526</f>
        <v>4.9089999999999998</v>
      </c>
      <c r="AO8" s="189">
        <f t="shared" ref="AO8:AO21" si="14">AN8/AM8</f>
        <v>4.410601976639712</v>
      </c>
      <c r="AP8" s="189">
        <f t="shared" ref="AP8:AP21" si="15">AO8/AJ8*100</f>
        <v>84.404075073118761</v>
      </c>
      <c r="AQ8" s="353">
        <f>AM8/AM21*100</f>
        <v>1.3224976298121434E-3</v>
      </c>
      <c r="AR8" s="190">
        <f t="shared" si="2"/>
        <v>91.846000000000004</v>
      </c>
      <c r="AS8" s="189">
        <f t="shared" si="2"/>
        <v>470.22399999999993</v>
      </c>
      <c r="AT8" s="189">
        <f t="shared" ref="AT8:AT21" si="16">AS8/AR8</f>
        <v>5.1197003680073161</v>
      </c>
      <c r="AU8" s="192">
        <f>AR8/AR21*100</f>
        <v>4.0573434815896287E-2</v>
      </c>
      <c r="AV8" s="190">
        <f t="shared" si="3"/>
        <v>438.14200000000005</v>
      </c>
      <c r="AW8" s="189">
        <f t="shared" ref="AW8:AW21" si="17">AS8+Z8</f>
        <v>2208.0459999999998</v>
      </c>
      <c r="AX8" s="189">
        <f t="shared" ref="AX8:AX21" si="18">AW8/AV8</f>
        <v>5.0395670809920059</v>
      </c>
      <c r="AY8" s="114"/>
      <c r="AZ8" s="184">
        <f>AV8/AV21*100</f>
        <v>9.7928734906817166E-2</v>
      </c>
      <c r="BA8" s="334">
        <f>24.364+45.482</f>
        <v>69.846000000000004</v>
      </c>
      <c r="BB8" s="189">
        <f>89.416+261.976</f>
        <v>351.392</v>
      </c>
      <c r="BC8" s="189">
        <f t="shared" ref="BC8:BC21" si="19">BB8/BA8</f>
        <v>5.0309538126735962</v>
      </c>
      <c r="BD8" s="193">
        <f t="shared" si="4"/>
        <v>114.06501514576723</v>
      </c>
      <c r="BE8" s="184">
        <f>BA8/BA21*100</f>
        <v>6.8169195932592783E-2</v>
      </c>
      <c r="BF8" s="190">
        <f>20.853+54.937</f>
        <v>75.789999999999992</v>
      </c>
      <c r="BG8" s="189">
        <f>76.531+316.437</f>
        <v>392.96800000000002</v>
      </c>
      <c r="BH8" s="189">
        <f>BG8/BF8</f>
        <v>5.1849584377886275</v>
      </c>
      <c r="BI8" s="193">
        <f>BH8/BC8*100</f>
        <v>103.06114170094496</v>
      </c>
      <c r="BJ8" s="262">
        <f>BF8/BF21*100</f>
        <v>8.5206406195138668E-2</v>
      </c>
      <c r="BK8" s="113">
        <f>5.142+31.417</f>
        <v>36.559000000000005</v>
      </c>
      <c r="BL8" s="114">
        <f>18.871+180.962</f>
        <v>199.833</v>
      </c>
      <c r="BM8" s="189">
        <f>BL8/BK8</f>
        <v>5.466041193686916</v>
      </c>
      <c r="BN8" s="193">
        <f>BM8/BH8*100</f>
        <v>105.42111878563428</v>
      </c>
      <c r="BO8" s="184">
        <f>BK8/BK21*100</f>
        <v>4.9012925608999586E-2</v>
      </c>
      <c r="BP8" s="113">
        <f>BA8+BF8+BK8</f>
        <v>182.19499999999999</v>
      </c>
      <c r="BQ8" s="113">
        <f>BB8+BG8+BL8</f>
        <v>944.19299999999998</v>
      </c>
      <c r="BR8" s="189">
        <f t="shared" ref="BR8:BR21" si="20">BQ8/BP8</f>
        <v>5.182321139438514</v>
      </c>
      <c r="BS8" s="114"/>
      <c r="BT8" s="184">
        <f>BP8/BP21*100</f>
        <v>6.8494616598324357E-2</v>
      </c>
      <c r="BU8" s="113">
        <f>21.507+53.77</f>
        <v>75.277000000000001</v>
      </c>
      <c r="BV8" s="114">
        <f>78.931+309.715</f>
        <v>388.64599999999996</v>
      </c>
      <c r="BW8" s="189">
        <f t="shared" ref="BW8:BW21" si="21">BV8/BU8</f>
        <v>5.1628784356443527</v>
      </c>
      <c r="BX8" s="193">
        <f t="shared" ref="BX8:BX21" si="22">BW8/BM8*100</f>
        <v>94.453705208209811</v>
      </c>
      <c r="BY8" s="184">
        <f>BU8/BU21*100</f>
        <v>0.1040419216092488</v>
      </c>
      <c r="BZ8" s="113">
        <f>11.276+26.954</f>
        <v>38.230000000000004</v>
      </c>
      <c r="CA8" s="114">
        <f>41.383+155.255</f>
        <v>196.63800000000001</v>
      </c>
      <c r="CB8" s="189">
        <f t="shared" ref="CB8:CB21" si="23">CA8/BZ8</f>
        <v>5.1435521841485743</v>
      </c>
      <c r="CC8" s="193">
        <f>CB8/BW8*100</f>
        <v>99.625669057742087</v>
      </c>
      <c r="CD8" s="184">
        <f>BZ8/BZ21*100</f>
        <v>4.8891132990045882E-2</v>
      </c>
      <c r="CE8" s="113">
        <f>12.052+26.054</f>
        <v>38.105999999999995</v>
      </c>
      <c r="CF8" s="114">
        <f>44.231+150.071</f>
        <v>194.30199999999999</v>
      </c>
      <c r="CG8" s="182">
        <f t="shared" ref="CG8:CG21" si="24">CF8/CE8</f>
        <v>5.0989870361622849</v>
      </c>
      <c r="CH8" s="183">
        <f t="shared" si="5"/>
        <v>92.372401402286684</v>
      </c>
      <c r="CI8" s="184">
        <f>CE8/CE21*100</f>
        <v>4.4316625905667102E-2</v>
      </c>
      <c r="CJ8" s="113">
        <f>BU8+BZ8+CE8</f>
        <v>151.613</v>
      </c>
      <c r="CK8" s="113">
        <f>BV8+CA8+CF8</f>
        <v>779.58600000000001</v>
      </c>
      <c r="CL8" s="189">
        <f>CK8/CJ8</f>
        <v>5.1419469306721721</v>
      </c>
      <c r="CM8" s="114"/>
      <c r="CN8" s="192">
        <f>CJ8/CJ21*100</f>
        <v>6.4597401032240168E-2</v>
      </c>
      <c r="CO8" s="190">
        <f t="shared" ref="CO8:CO21" si="25">CJ8+BP8</f>
        <v>333.80799999999999</v>
      </c>
      <c r="CP8" s="189">
        <f t="shared" ref="CP8:CP21" si="26">CK8+BQ8</f>
        <v>1723.779</v>
      </c>
      <c r="CQ8" s="189">
        <f t="shared" ref="CQ8:CQ21" si="27">CP8/CO8</f>
        <v>5.1639834875137804</v>
      </c>
      <c r="CR8" s="114"/>
      <c r="CS8" s="114">
        <f>CO8/CO21*100</f>
        <v>6.6667798940233475E-2</v>
      </c>
      <c r="CT8" s="140">
        <f t="shared" ref="CT8:CU11" si="28">Y8+AR8+BP8+CJ8</f>
        <v>771.95</v>
      </c>
      <c r="CU8" s="114">
        <f t="shared" si="28"/>
        <v>3931.8249999999998</v>
      </c>
      <c r="CV8" s="189">
        <f t="shared" ref="CV8:CV21" si="29">CU8/CT8</f>
        <v>5.0933674460781138</v>
      </c>
      <c r="CW8" s="114"/>
      <c r="CX8" s="184">
        <f>CT8/CT21*100</f>
        <v>8.1262982141684093E-2</v>
      </c>
      <c r="CY8" s="181"/>
    </row>
    <row r="9" spans="1:104" ht="78" customHeight="1" thickBot="1">
      <c r="A9" s="14" t="s">
        <v>24</v>
      </c>
      <c r="B9" s="144" t="s">
        <v>77</v>
      </c>
      <c r="C9" s="295" t="s">
        <v>21</v>
      </c>
      <c r="D9" s="299">
        <f>43117.582-D8</f>
        <v>43026.406999999999</v>
      </c>
      <c r="E9" s="113">
        <f>36480.956</f>
        <v>36480.955999999998</v>
      </c>
      <c r="F9" s="114">
        <v>173347.405</v>
      </c>
      <c r="G9" s="182">
        <f t="shared" si="6"/>
        <v>4.7517232004556025</v>
      </c>
      <c r="H9" s="297" t="e">
        <f t="shared" ref="H9" si="30">G9/#REF!*100</f>
        <v>#REF!</v>
      </c>
      <c r="I9" s="298">
        <f>E9/E21*100</f>
        <v>53.709035070182743</v>
      </c>
      <c r="J9" s="184">
        <f>37111.886-J8</f>
        <v>36952.403999999995</v>
      </c>
      <c r="K9" s="112">
        <f>176481.444-K8</f>
        <v>175762.47</v>
      </c>
      <c r="L9" s="346">
        <f t="shared" si="8"/>
        <v>4.7564556287055106</v>
      </c>
      <c r="M9" s="323">
        <f>L9/G9*100</f>
        <v>100.09959393782563</v>
      </c>
      <c r="N9" s="187">
        <f>J9/J21*100</f>
        <v>53.791341196848904</v>
      </c>
      <c r="O9" s="113">
        <f>39612.394-O8</f>
        <v>39429.510999999999</v>
      </c>
      <c r="P9" s="114">
        <f>188543.52-P8</f>
        <v>187540.70499999999</v>
      </c>
      <c r="Q9" s="348">
        <v>4.8</v>
      </c>
      <c r="R9" s="114">
        <f>(Q9/L9)*100</f>
        <v>100.91547939671077</v>
      </c>
      <c r="S9" s="184">
        <f>O9/O21*100</f>
        <v>49.171723656025215</v>
      </c>
      <c r="T9" s="113">
        <f>38253.925-T8</f>
        <v>38249.994000000006</v>
      </c>
      <c r="U9" s="114">
        <f>181844.966-U8</f>
        <v>181828.93299999999</v>
      </c>
      <c r="V9" s="350">
        <f t="shared" ref="V9:V21" si="31">(U9/T9)</f>
        <v>4.7536983404494118</v>
      </c>
      <c r="W9" s="114">
        <f t="shared" si="9"/>
        <v>99.035382092696082</v>
      </c>
      <c r="X9" s="184">
        <f>T9/T21*100</f>
        <v>53.010103311510505</v>
      </c>
      <c r="Y9" s="190">
        <f t="shared" si="10"/>
        <v>114631.909</v>
      </c>
      <c r="Z9" s="189">
        <f t="shared" ref="Z9:Z11" si="32">(U9+P9+K9)</f>
        <v>545132.10800000001</v>
      </c>
      <c r="AA9" s="350">
        <f t="shared" ref="AA9:AA21" si="33">Z9/Y9</f>
        <v>4.7555005648558115</v>
      </c>
      <c r="AB9" s="191">
        <f>Y9/Y21*100</f>
        <v>51.860435094249226</v>
      </c>
      <c r="AC9" s="113">
        <f>40798.829-AC8</f>
        <v>40741.06</v>
      </c>
      <c r="AD9" s="114">
        <f>194526.763-AD8</f>
        <v>194233.704</v>
      </c>
      <c r="AE9" s="350">
        <f t="shared" si="11"/>
        <v>4.7675171927289082</v>
      </c>
      <c r="AF9" s="189">
        <f t="shared" si="1"/>
        <v>100.25268902209585</v>
      </c>
      <c r="AG9" s="184">
        <f>AC9/AC21*100</f>
        <v>54.535916910307193</v>
      </c>
      <c r="AH9" s="113">
        <f>38285.168-AH8</f>
        <v>38252.203999999998</v>
      </c>
      <c r="AI9" s="114">
        <f>184518.837-AI8</f>
        <v>184346.58100000001</v>
      </c>
      <c r="AJ9" s="350">
        <f t="shared" si="12"/>
        <v>4.8192407684534988</v>
      </c>
      <c r="AK9" s="189">
        <f t="shared" si="13"/>
        <v>101.08491639638922</v>
      </c>
      <c r="AL9" s="184">
        <f>AH9/AH21*100</f>
        <v>56.665025080420804</v>
      </c>
      <c r="AM9" s="113">
        <f>49039.149-AM8</f>
        <v>49038.036</v>
      </c>
      <c r="AN9" s="114">
        <f>232755.307-AN8</f>
        <v>232750.39799999999</v>
      </c>
      <c r="AO9" s="350">
        <f t="shared" si="14"/>
        <v>4.746323812805227</v>
      </c>
      <c r="AP9" s="189">
        <f t="shared" si="15"/>
        <v>98.486961761164068</v>
      </c>
      <c r="AQ9" s="184">
        <f>AM9/AM21*100</f>
        <v>58.268361527980737</v>
      </c>
      <c r="AR9" s="190">
        <f t="shared" si="2"/>
        <v>128031.29999999999</v>
      </c>
      <c r="AS9" s="189">
        <f t="shared" si="2"/>
        <v>611330.68299999996</v>
      </c>
      <c r="AT9" s="189">
        <f t="shared" si="16"/>
        <v>4.7748533600767935</v>
      </c>
      <c r="AU9" s="192">
        <f>AR9/AR21*100</f>
        <v>56.558474021127338</v>
      </c>
      <c r="AV9" s="190">
        <f t="shared" si="3"/>
        <v>242663.20899999997</v>
      </c>
      <c r="AW9" s="189">
        <f t="shared" si="17"/>
        <v>1156462.791</v>
      </c>
      <c r="AX9" s="189">
        <f t="shared" si="18"/>
        <v>4.7657112743448478</v>
      </c>
      <c r="AY9" s="189"/>
      <c r="AZ9" s="191">
        <f>AV9/AV21*100</f>
        <v>54.237441436334713</v>
      </c>
      <c r="BA9" s="194">
        <f>62119.66-BA8</f>
        <v>62049.814000000006</v>
      </c>
      <c r="BB9" s="195">
        <f>311220.96-BB8</f>
        <v>310869.56800000003</v>
      </c>
      <c r="BC9" s="189">
        <f t="shared" si="19"/>
        <v>5.0099999977437486</v>
      </c>
      <c r="BD9" s="193">
        <f t="shared" si="4"/>
        <v>105.5553770736658</v>
      </c>
      <c r="BE9" s="184">
        <f>BA9/BA21*100</f>
        <v>60.560174213941231</v>
      </c>
      <c r="BF9" s="113">
        <f>52165.502-BF8</f>
        <v>52089.712</v>
      </c>
      <c r="BG9" s="114">
        <f>261362.423-BG8</f>
        <v>260969.45500000002</v>
      </c>
      <c r="BH9" s="189">
        <f t="shared" ref="BH9:BH21" si="34">BG9/BF9</f>
        <v>5.009999959300985</v>
      </c>
      <c r="BI9" s="193">
        <f t="shared" ref="BI9:BI21" si="35">BH9/BC9*100</f>
        <v>99.999999232679372</v>
      </c>
      <c r="BJ9" s="262">
        <f>BF9/BF21*100</f>
        <v>58.561514174162674</v>
      </c>
      <c r="BK9" s="113">
        <f>38464.537-BK8</f>
        <v>38427.977999999996</v>
      </c>
      <c r="BL9" s="114">
        <f>192724-BL8</f>
        <v>192524.16699999999</v>
      </c>
      <c r="BM9" s="189">
        <f t="shared" ref="BM9:BM21" si="36">BL9/BK9</f>
        <v>5.0099999276568754</v>
      </c>
      <c r="BN9" s="193">
        <f t="shared" ref="BN9:BN21" si="37">BM9/BH9*100</f>
        <v>99.99999936838104</v>
      </c>
      <c r="BO9" s="191">
        <f>BK9/BK21*100</f>
        <v>51.518576192408773</v>
      </c>
      <c r="BP9" s="113">
        <f>BA9+BF9+BK9</f>
        <v>152567.50400000002</v>
      </c>
      <c r="BQ9" s="113">
        <f t="shared" ref="BQ9:BQ11" si="38">BB9+BG9+BL9</f>
        <v>764363.19000000006</v>
      </c>
      <c r="BR9" s="189">
        <f t="shared" si="20"/>
        <v>5.0099999669654425</v>
      </c>
      <c r="BS9" s="114"/>
      <c r="BT9" s="184">
        <f>BP9/BP21*100</f>
        <v>57.35641862753269</v>
      </c>
      <c r="BU9" s="113">
        <f>36192.682-BU8</f>
        <v>36117.404999999999</v>
      </c>
      <c r="BV9" s="114">
        <f>181336.841-BV8</f>
        <v>180948.19499999998</v>
      </c>
      <c r="BW9" s="189">
        <f t="shared" si="21"/>
        <v>5.0099998878656979</v>
      </c>
      <c r="BX9" s="193">
        <f t="shared" si="22"/>
        <v>99.999999205764908</v>
      </c>
      <c r="BY9" s="184">
        <f>BU9/BU21*100</f>
        <v>49.918623480471993</v>
      </c>
      <c r="BZ9" s="113">
        <f>37365.869-BZ8</f>
        <v>37327.638999999996</v>
      </c>
      <c r="CA9" s="114">
        <f>187208.21-CA8</f>
        <v>187011.57199999999</v>
      </c>
      <c r="CB9" s="189">
        <f t="shared" si="23"/>
        <v>5.0100026953218233</v>
      </c>
      <c r="CC9" s="193">
        <f>CB9/BW9*100</f>
        <v>100.00005603704966</v>
      </c>
      <c r="CD9" s="184">
        <f>BZ9/BZ21*100</f>
        <v>47.737132162004258</v>
      </c>
      <c r="CE9" s="113">
        <f>40765.962-CE8</f>
        <v>40727.856</v>
      </c>
      <c r="CF9" s="113">
        <f>204240.855-CF8</f>
        <v>204046.55300000001</v>
      </c>
      <c r="CG9" s="182">
        <f t="shared" si="24"/>
        <v>5.0099998634840981</v>
      </c>
      <c r="CH9" s="183">
        <f t="shared" si="5"/>
        <v>105.43543157151349</v>
      </c>
      <c r="CI9" s="184">
        <f>CE9/CE21*100</f>
        <v>47.365799566784226</v>
      </c>
      <c r="CJ9" s="113">
        <f t="shared" ref="CJ9:CJ10" si="39">BU9+BZ9+CE9</f>
        <v>114172.9</v>
      </c>
      <c r="CK9" s="113">
        <f t="shared" ref="CK9:CK11" si="40">BV9+CA9+CF9</f>
        <v>572006.32000000007</v>
      </c>
      <c r="CL9" s="189">
        <f>CK9/CJ9</f>
        <v>5.0100007970367759</v>
      </c>
      <c r="CM9" s="114"/>
      <c r="CN9" s="192">
        <f>CJ9/CJ21*100</f>
        <v>48.645384025867529</v>
      </c>
      <c r="CO9" s="190">
        <f t="shared" si="25"/>
        <v>266740.40399999998</v>
      </c>
      <c r="CP9" s="189">
        <f t="shared" si="26"/>
        <v>1336369.5100000002</v>
      </c>
      <c r="CQ9" s="189">
        <f t="shared" si="27"/>
        <v>5.0100003222608915</v>
      </c>
      <c r="CR9" s="114"/>
      <c r="CS9" s="114">
        <f>CO9/CO21*100</f>
        <v>53.273125937990251</v>
      </c>
      <c r="CT9" s="140">
        <f t="shared" si="28"/>
        <v>509403.61300000001</v>
      </c>
      <c r="CU9" s="114">
        <f t="shared" si="28"/>
        <v>2492832.301</v>
      </c>
      <c r="CV9" s="189">
        <f t="shared" si="29"/>
        <v>4.8936290151518813</v>
      </c>
      <c r="CW9" s="114"/>
      <c r="CX9" s="184">
        <f>CT9/CT21*100</f>
        <v>53.624790085016329</v>
      </c>
      <c r="CY9" s="181"/>
    </row>
    <row r="10" spans="1:104" ht="108" customHeight="1" thickBot="1">
      <c r="A10" s="14" t="s">
        <v>25</v>
      </c>
      <c r="B10" s="144" t="s">
        <v>78</v>
      </c>
      <c r="C10" s="295" t="s">
        <v>1</v>
      </c>
      <c r="D10" s="299">
        <v>2594.0149999999999</v>
      </c>
      <c r="E10" s="113">
        <v>4228.2299999999996</v>
      </c>
      <c r="F10" s="114">
        <v>14333.7</v>
      </c>
      <c r="G10" s="182">
        <f t="shared" si="6"/>
        <v>3.3900000709516753</v>
      </c>
      <c r="H10" s="297" t="e">
        <f t="shared" ref="H10" si="41">G10/#REF!*100</f>
        <v>#REF!</v>
      </c>
      <c r="I10" s="298">
        <f>E10/E21*100</f>
        <v>6.2250055441200267</v>
      </c>
      <c r="J10" s="184">
        <v>4157.933</v>
      </c>
      <c r="K10" s="112">
        <v>14095.393</v>
      </c>
      <c r="L10" s="185">
        <f t="shared" si="8"/>
        <v>3.3900000312655352</v>
      </c>
      <c r="M10" s="323">
        <f t="shared" ref="M10:M18" si="42">L10/G10*100</f>
        <v>99.999998829317434</v>
      </c>
      <c r="N10" s="187">
        <f>J10/J21*100</f>
        <v>6.0526723153556556</v>
      </c>
      <c r="O10" s="113">
        <v>3038.7530000000002</v>
      </c>
      <c r="P10" s="114">
        <v>10301.373</v>
      </c>
      <c r="Q10" s="188">
        <f>P10/O10</f>
        <v>3.3900001085971776</v>
      </c>
      <c r="R10" s="114">
        <f t="shared" ref="R10:R21" si="43">(Q10/L10)*100</f>
        <v>100.00000228116936</v>
      </c>
      <c r="S10" s="184">
        <f>O10/O21*100</f>
        <v>3.7895657081549303</v>
      </c>
      <c r="T10" s="113">
        <v>4015.192</v>
      </c>
      <c r="U10" s="114">
        <v>13611.501</v>
      </c>
      <c r="V10" s="189">
        <f t="shared" si="31"/>
        <v>3.3900000298864912</v>
      </c>
      <c r="W10" s="114">
        <f t="shared" si="9"/>
        <v>99.999997678150919</v>
      </c>
      <c r="X10" s="184">
        <f>T10/T21*100</f>
        <v>5.5645954541992984</v>
      </c>
      <c r="Y10" s="190">
        <f t="shared" si="10"/>
        <v>11211.878000000001</v>
      </c>
      <c r="Z10" s="189">
        <f t="shared" si="32"/>
        <v>38008.267</v>
      </c>
      <c r="AA10" s="189">
        <f t="shared" si="33"/>
        <v>3.3900000517308517</v>
      </c>
      <c r="AB10" s="191">
        <f>Y10/Y21*100</f>
        <v>5.0723474499900441</v>
      </c>
      <c r="AC10" s="113">
        <v>3832.6060000000002</v>
      </c>
      <c r="AD10" s="114">
        <v>12992.534</v>
      </c>
      <c r="AE10" s="189">
        <f t="shared" si="11"/>
        <v>3.3899999112875152</v>
      </c>
      <c r="AF10" s="189">
        <f t="shared" si="1"/>
        <v>99.999995857128781</v>
      </c>
      <c r="AG10" s="184">
        <f>AC10/AC21*100</f>
        <v>5.1303201822913991</v>
      </c>
      <c r="AH10" s="113">
        <v>2846.8319999999999</v>
      </c>
      <c r="AI10" s="114">
        <v>9650.7610000000004</v>
      </c>
      <c r="AJ10" s="189">
        <f t="shared" si="12"/>
        <v>3.3900001826591808</v>
      </c>
      <c r="AK10" s="189">
        <f t="shared" si="13"/>
        <v>100.0000080050641</v>
      </c>
      <c r="AL10" s="184">
        <f>AH10/AH21*100</f>
        <v>4.2171637137495281</v>
      </c>
      <c r="AM10" s="113">
        <v>6057.232</v>
      </c>
      <c r="AN10" s="114">
        <v>20531.017</v>
      </c>
      <c r="AO10" s="189">
        <f t="shared" si="14"/>
        <v>3.3895048101178888</v>
      </c>
      <c r="AP10" s="189">
        <f t="shared" si="15"/>
        <v>99.985387241457218</v>
      </c>
      <c r="AQ10" s="184">
        <f>AM10/AM21*100</f>
        <v>7.1973719346112022</v>
      </c>
      <c r="AR10" s="190">
        <f t="shared" si="2"/>
        <v>12736.67</v>
      </c>
      <c r="AS10" s="189">
        <f t="shared" si="2"/>
        <v>43174.311999999998</v>
      </c>
      <c r="AT10" s="189">
        <f t="shared" si="16"/>
        <v>3.3897645145866226</v>
      </c>
      <c r="AU10" s="192">
        <f>AR10/AR21*100</f>
        <v>5.6264883611325676</v>
      </c>
      <c r="AV10" s="190">
        <f t="shared" si="3"/>
        <v>23948.548000000003</v>
      </c>
      <c r="AW10" s="189">
        <f t="shared" si="17"/>
        <v>81182.578999999998</v>
      </c>
      <c r="AX10" s="189">
        <f t="shared" si="18"/>
        <v>3.3898747848930126</v>
      </c>
      <c r="AY10" s="114"/>
      <c r="AZ10" s="184">
        <f>AV10/AV21*100</f>
        <v>5.3527190009065242</v>
      </c>
      <c r="BA10" s="140">
        <v>4848.402</v>
      </c>
      <c r="BB10" s="114">
        <v>17017.891</v>
      </c>
      <c r="BC10" s="189">
        <f t="shared" si="19"/>
        <v>3.5099999958749293</v>
      </c>
      <c r="BD10" s="193">
        <f t="shared" si="4"/>
        <v>103.55494954299385</v>
      </c>
      <c r="BE10" s="184">
        <f>BA10/BA21*100</f>
        <v>4.7320056395208709</v>
      </c>
      <c r="BF10" s="113">
        <v>4888.1899999999996</v>
      </c>
      <c r="BG10" s="114">
        <v>17157.546999999999</v>
      </c>
      <c r="BH10" s="189">
        <f t="shared" si="34"/>
        <v>3.5100000204574702</v>
      </c>
      <c r="BI10" s="193">
        <f t="shared" si="35"/>
        <v>100.00000070035728</v>
      </c>
      <c r="BJ10" s="262">
        <f>BF10/BF21*100</f>
        <v>5.4955152750892573</v>
      </c>
      <c r="BK10" s="113">
        <v>2627.6329999999998</v>
      </c>
      <c r="BL10" s="114">
        <v>9222.9920000000002</v>
      </c>
      <c r="BM10" s="189">
        <f>BL10/BK10</f>
        <v>3.5100000646970111</v>
      </c>
      <c r="BN10" s="193">
        <f t="shared" si="37"/>
        <v>100.00000126038577</v>
      </c>
      <c r="BO10" s="191">
        <f>BK10/BK21*100</f>
        <v>3.5227435311893753</v>
      </c>
      <c r="BP10" s="113">
        <f t="shared" ref="BP10:BP11" si="44">BA10+BF10+BK10</f>
        <v>12364.225</v>
      </c>
      <c r="BQ10" s="113">
        <f t="shared" si="38"/>
        <v>43398.429999999993</v>
      </c>
      <c r="BR10" s="189">
        <f t="shared" si="20"/>
        <v>3.5100000202196249</v>
      </c>
      <c r="BS10" s="114"/>
      <c r="BT10" s="184">
        <f>BP10/BP21*100</f>
        <v>4.6482222394161035</v>
      </c>
      <c r="BU10" s="113">
        <v>2387.5419999999999</v>
      </c>
      <c r="BV10" s="114">
        <v>8380.2729999999992</v>
      </c>
      <c r="BW10" s="189">
        <f t="shared" si="21"/>
        <v>3.5100002429276635</v>
      </c>
      <c r="BX10" s="193">
        <f t="shared" si="22"/>
        <v>100.00000507779627</v>
      </c>
      <c r="BY10" s="184">
        <f>BU10/BU21*100</f>
        <v>3.2998719077910792</v>
      </c>
      <c r="BZ10" s="113">
        <v>4396.0039999999999</v>
      </c>
      <c r="CA10" s="114">
        <v>15429.972</v>
      </c>
      <c r="CB10" s="189">
        <f t="shared" si="23"/>
        <v>3.5099995359421876</v>
      </c>
      <c r="CC10" s="193">
        <f t="shared" ref="CC10:CC21" si="45">CB10/BW10*100</f>
        <v>99.999979857965045</v>
      </c>
      <c r="CD10" s="184">
        <f>BZ10/BZ21*100</f>
        <v>5.6219099186181953</v>
      </c>
      <c r="CE10" s="113">
        <v>3080.9050000000002</v>
      </c>
      <c r="CF10" s="114">
        <v>10831.562</v>
      </c>
      <c r="CG10" s="459">
        <f t="shared" si="24"/>
        <v>3.5157078845339274</v>
      </c>
      <c r="CH10" s="183">
        <f t="shared" si="5"/>
        <v>103.70819501331047</v>
      </c>
      <c r="CI10" s="184">
        <f>CE10/CE21*100</f>
        <v>3.5830397925759545</v>
      </c>
      <c r="CJ10" s="113">
        <f t="shared" si="39"/>
        <v>9864.4510000000009</v>
      </c>
      <c r="CK10" s="113">
        <f t="shared" si="40"/>
        <v>34641.807000000001</v>
      </c>
      <c r="CL10" s="189">
        <f t="shared" ref="CL10:CL21" si="46">CK10/CJ10</f>
        <v>3.5117825614420912</v>
      </c>
      <c r="CM10" s="114"/>
      <c r="CN10" s="192">
        <f>CJ10/CJ21*100</f>
        <v>4.2029238733478174</v>
      </c>
      <c r="CO10" s="190">
        <f t="shared" si="25"/>
        <v>22228.675999999999</v>
      </c>
      <c r="CP10" s="189">
        <f t="shared" si="26"/>
        <v>78040.236999999994</v>
      </c>
      <c r="CQ10" s="189">
        <f t="shared" si="27"/>
        <v>3.5107910610600466</v>
      </c>
      <c r="CR10" s="114"/>
      <c r="CS10" s="114">
        <f>CO10/CO21*100</f>
        <v>4.4394888746692507</v>
      </c>
      <c r="CT10" s="140">
        <f t="shared" si="28"/>
        <v>46177.224000000002</v>
      </c>
      <c r="CU10" s="114">
        <f t="shared" si="28"/>
        <v>159222.81599999999</v>
      </c>
      <c r="CV10" s="189">
        <f t="shared" si="29"/>
        <v>3.4480811579318842</v>
      </c>
      <c r="CW10" s="114"/>
      <c r="CX10" s="184">
        <f>CT10/CT21*100</f>
        <v>4.8610647441732571</v>
      </c>
      <c r="CY10" s="181"/>
    </row>
    <row r="11" spans="1:104" ht="54.75" customHeight="1" thickBot="1">
      <c r="B11" s="180" t="s">
        <v>79</v>
      </c>
      <c r="C11" s="295" t="s">
        <v>2</v>
      </c>
      <c r="D11" s="299">
        <v>30358.713</v>
      </c>
      <c r="E11" s="113">
        <v>25963.507000000001</v>
      </c>
      <c r="F11" s="114">
        <v>88016.289000000004</v>
      </c>
      <c r="G11" s="182">
        <f t="shared" si="6"/>
        <v>3.3900000103992114</v>
      </c>
      <c r="H11" s="297" t="e">
        <f t="shared" ref="H11" si="47">G11/#REF!*100</f>
        <v>#REF!</v>
      </c>
      <c r="I11" s="298">
        <f>E11/E21*100</f>
        <v>38.224735887073116</v>
      </c>
      <c r="J11" s="184">
        <v>24750.132000000001</v>
      </c>
      <c r="K11" s="112">
        <v>80615.107000000004</v>
      </c>
      <c r="L11" s="346">
        <f t="shared" si="8"/>
        <v>3.2571586688911398</v>
      </c>
      <c r="M11" s="186">
        <f t="shared" si="42"/>
        <v>96.081376368714871</v>
      </c>
      <c r="N11" s="187">
        <f>J11/J21*100</f>
        <v>36.028584096424382</v>
      </c>
      <c r="O11" s="113">
        <v>35737.964</v>
      </c>
      <c r="P11" s="114">
        <v>118609.21</v>
      </c>
      <c r="Q11" s="348">
        <f t="shared" si="0"/>
        <v>3.3188575040256914</v>
      </c>
      <c r="R11" s="114">
        <f t="shared" si="43"/>
        <v>101.89425328657865</v>
      </c>
      <c r="S11" s="184">
        <f>O11/O21*100</f>
        <v>44.568072118291745</v>
      </c>
      <c r="T11" s="113">
        <v>27557.308000000001</v>
      </c>
      <c r="U11" s="114">
        <v>91849.482000000004</v>
      </c>
      <c r="V11" s="350">
        <f t="shared" si="31"/>
        <v>3.3330353603479703</v>
      </c>
      <c r="W11" s="114">
        <f t="shared" si="9"/>
        <v>100.42719087231318</v>
      </c>
      <c r="X11" s="184">
        <f>T11/T21*100</f>
        <v>38.191267273587407</v>
      </c>
      <c r="Y11" s="190">
        <f t="shared" si="10"/>
        <v>88045.403999999995</v>
      </c>
      <c r="Z11" s="189">
        <f t="shared" si="32"/>
        <v>291073.799</v>
      </c>
      <c r="AA11" s="350">
        <f t="shared" si="33"/>
        <v>3.3059510863281405</v>
      </c>
      <c r="AB11" s="191">
        <f>Y11/Y21*100</f>
        <v>39.832477704693467</v>
      </c>
      <c r="AC11" s="113">
        <v>27677.687999999998</v>
      </c>
      <c r="AD11" s="114">
        <v>91884.464000000007</v>
      </c>
      <c r="AE11" s="350">
        <f t="shared" si="11"/>
        <v>3.3198027234066667</v>
      </c>
      <c r="AF11" s="189">
        <f t="shared" si="1"/>
        <v>100.41899098676355</v>
      </c>
      <c r="AG11" s="184">
        <f>AC11/AC21*100</f>
        <v>37.049308315429357</v>
      </c>
      <c r="AH11" s="113">
        <v>23775.526000000002</v>
      </c>
      <c r="AI11" s="114">
        <v>79450.817999999999</v>
      </c>
      <c r="AJ11" s="350">
        <f t="shared" si="12"/>
        <v>3.3417060047378131</v>
      </c>
      <c r="AK11" s="189">
        <f t="shared" si="13"/>
        <v>100.65977659385344</v>
      </c>
      <c r="AL11" s="184">
        <f>AH11/AH21*100</f>
        <v>35.219951694553266</v>
      </c>
      <c r="AM11" s="113">
        <v>25717.371999999999</v>
      </c>
      <c r="AN11" s="114">
        <v>85465.523000000001</v>
      </c>
      <c r="AO11" s="350">
        <f t="shared" si="14"/>
        <v>3.3232603626840254</v>
      </c>
      <c r="AP11" s="189">
        <f t="shared" si="15"/>
        <v>99.448017209543991</v>
      </c>
      <c r="AQ11" s="184">
        <f>AM11/AM21*100</f>
        <v>30.558098396223883</v>
      </c>
      <c r="AR11" s="190">
        <f t="shared" si="2"/>
        <v>77170.585999999996</v>
      </c>
      <c r="AS11" s="189">
        <f t="shared" si="2"/>
        <v>256800.80500000002</v>
      </c>
      <c r="AT11" s="189">
        <f>AS11/AR11</f>
        <v>3.3277031873258034</v>
      </c>
      <c r="AU11" s="192">
        <f>AR11/AR21*100</f>
        <v>34.090496491687375</v>
      </c>
      <c r="AV11" s="190">
        <f t="shared" si="3"/>
        <v>165215.99</v>
      </c>
      <c r="AW11" s="189">
        <f t="shared" si="17"/>
        <v>547874.60400000005</v>
      </c>
      <c r="AX11" s="189">
        <f t="shared" si="18"/>
        <v>3.3161112553330949</v>
      </c>
      <c r="AY11" s="114"/>
      <c r="AZ11" s="184">
        <f>AV11/AV21*100</f>
        <v>36.927281308519504</v>
      </c>
      <c r="BA11" s="140">
        <v>31962.547999999999</v>
      </c>
      <c r="BB11" s="114">
        <v>112188.54399999999</v>
      </c>
      <c r="BC11" s="189">
        <f t="shared" si="19"/>
        <v>3.510000016269041</v>
      </c>
      <c r="BD11" s="193">
        <f t="shared" si="4"/>
        <v>105.61917012828317</v>
      </c>
      <c r="BE11" s="184">
        <f>BA11/BA21*100</f>
        <v>31.195218009863151</v>
      </c>
      <c r="BF11" s="113">
        <v>28881.044000000002</v>
      </c>
      <c r="BG11" s="114">
        <v>101372.465</v>
      </c>
      <c r="BH11" s="189">
        <f t="shared" si="34"/>
        <v>3.5100000193898806</v>
      </c>
      <c r="BI11" s="193">
        <f t="shared" si="35"/>
        <v>100.00000008891281</v>
      </c>
      <c r="BJ11" s="262">
        <f>BF11/BF21*100</f>
        <v>32.469322686418693</v>
      </c>
      <c r="BK11" s="113">
        <v>24798.635999999999</v>
      </c>
      <c r="BL11" s="271">
        <v>87043.213000000003</v>
      </c>
      <c r="BM11" s="189">
        <f>BL11/BK11</f>
        <v>3.5100000258078712</v>
      </c>
      <c r="BN11" s="193">
        <f t="shared" si="37"/>
        <v>100.00000018284874</v>
      </c>
      <c r="BO11" s="184">
        <f>BK11/BK21*100</f>
        <v>33.246360717543119</v>
      </c>
      <c r="BP11" s="113">
        <f t="shared" si="44"/>
        <v>85642.228000000003</v>
      </c>
      <c r="BQ11" s="113">
        <f t="shared" si="38"/>
        <v>300604.22200000001</v>
      </c>
      <c r="BR11" s="189">
        <f t="shared" si="20"/>
        <v>3.5100000200835502</v>
      </c>
      <c r="BS11" s="114"/>
      <c r="BT11" s="184">
        <f>BP11/BP21*100</f>
        <v>32.196446507787144</v>
      </c>
      <c r="BU11" s="113">
        <v>24752.792000000001</v>
      </c>
      <c r="BV11" s="114">
        <v>86882.3</v>
      </c>
      <c r="BW11" s="189">
        <f t="shared" si="21"/>
        <v>3.5100000032319585</v>
      </c>
      <c r="BX11" s="193">
        <f t="shared" si="22"/>
        <v>99.999999356811614</v>
      </c>
      <c r="BY11" s="184">
        <f>BU11/BU21*100</f>
        <v>34.211353333342728</v>
      </c>
      <c r="BZ11" s="113">
        <v>26240.525000000001</v>
      </c>
      <c r="CA11" s="114">
        <v>92104.241999999998</v>
      </c>
      <c r="CB11" s="189">
        <f t="shared" si="23"/>
        <v>3.5099999714182544</v>
      </c>
      <c r="CC11" s="193">
        <f t="shared" si="45"/>
        <v>99.99999909362667</v>
      </c>
      <c r="CD11" s="184">
        <f>BZ11/BZ21*100</f>
        <v>33.558174143437711</v>
      </c>
      <c r="CE11" s="113">
        <v>30501.444</v>
      </c>
      <c r="CF11" s="114">
        <v>107042.485</v>
      </c>
      <c r="CG11" s="182">
        <f t="shared" si="24"/>
        <v>3.5094235210634617</v>
      </c>
      <c r="CH11" s="183">
        <f t="shared" si="5"/>
        <v>103.52281741291756</v>
      </c>
      <c r="CI11" s="184">
        <f>CE11/CE21*100</f>
        <v>35.47265741171087</v>
      </c>
      <c r="CJ11" s="113">
        <f>BU11+BZ11+CE11</f>
        <v>81494.760999999999</v>
      </c>
      <c r="CK11" s="113">
        <f t="shared" si="40"/>
        <v>286029.027</v>
      </c>
      <c r="CL11" s="189">
        <f t="shared" si="46"/>
        <v>3.5097842301789193</v>
      </c>
      <c r="CM11" s="114"/>
      <c r="CN11" s="192">
        <f>CJ11/CJ21*100</f>
        <v>34.722284753573682</v>
      </c>
      <c r="CO11" s="190">
        <f t="shared" si="25"/>
        <v>167136.989</v>
      </c>
      <c r="CP11" s="189">
        <f t="shared" si="26"/>
        <v>586633.24900000007</v>
      </c>
      <c r="CQ11" s="189">
        <f t="shared" si="27"/>
        <v>3.5098948025203449</v>
      </c>
      <c r="CR11" s="114"/>
      <c r="CS11" s="114">
        <f>CO11/CO21*100</f>
        <v>33.380431799501551</v>
      </c>
      <c r="CT11" s="140">
        <f t="shared" si="28"/>
        <v>332352.97899999999</v>
      </c>
      <c r="CU11" s="114">
        <f t="shared" si="28"/>
        <v>1134507.8530000001</v>
      </c>
      <c r="CV11" s="189">
        <f t="shared" si="29"/>
        <v>3.4135630630228238</v>
      </c>
      <c r="CW11" s="114"/>
      <c r="CX11" s="184">
        <f>CT11/CT21*100</f>
        <v>34.986714420898387</v>
      </c>
      <c r="CY11" s="181"/>
      <c r="CZ11" s="335">
        <f>(AV10+AV11)/AV21*100</f>
        <v>42.280000309426029</v>
      </c>
    </row>
    <row r="12" spans="1:104" ht="63" customHeight="1" thickBot="1">
      <c r="A12" s="5" t="s">
        <v>89</v>
      </c>
      <c r="B12" s="143" t="s">
        <v>80</v>
      </c>
      <c r="C12" s="300" t="s">
        <v>22</v>
      </c>
      <c r="D12" s="301">
        <f>SUM(D13:D19)</f>
        <v>3445.7099999999996</v>
      </c>
      <c r="E12" s="302">
        <f>SUM(E13:E19)</f>
        <v>1216.6759999999999</v>
      </c>
      <c r="F12" s="302">
        <f>SUM(F13:F19)</f>
        <v>5764.0709999999999</v>
      </c>
      <c r="G12" s="209">
        <f t="shared" si="6"/>
        <v>4.7375562598423908</v>
      </c>
      <c r="H12" s="303" t="e">
        <f t="shared" ref="H12" si="48">G12/#REF!*100</f>
        <v>#REF!</v>
      </c>
      <c r="I12" s="304">
        <f>E12/E21*100</f>
        <v>1.7912494933808656</v>
      </c>
      <c r="J12" s="338">
        <f>J13+J16+J17+J18+J19+J20</f>
        <v>2675.8710000000001</v>
      </c>
      <c r="K12" s="338">
        <f>K13+K16+K17+K18+K19+K20</f>
        <v>12732.38262</v>
      </c>
      <c r="L12" s="212">
        <f t="shared" si="8"/>
        <v>4.7582198917660827</v>
      </c>
      <c r="M12" s="213">
        <f>L12/G12*100</f>
        <v>100.4361664704406</v>
      </c>
      <c r="N12" s="214">
        <f>J12/J21*100</f>
        <v>3.8952456235256929</v>
      </c>
      <c r="O12" s="338">
        <f>O13+O16+O17+O18+O19+O20</f>
        <v>1798.2570000000001</v>
      </c>
      <c r="P12" s="338">
        <f>P13+P16+P17+P18+P19+P20</f>
        <v>8490.7421900000008</v>
      </c>
      <c r="Q12" s="217">
        <f t="shared" si="0"/>
        <v>4.7216511266187204</v>
      </c>
      <c r="R12" s="216">
        <f t="shared" si="43"/>
        <v>99.231461219128533</v>
      </c>
      <c r="S12" s="218">
        <f>O12/O21*100</f>
        <v>2.2425689293106612</v>
      </c>
      <c r="T12" s="338">
        <f>T13+T16+T17+T18+T19+T20</f>
        <v>2329.62</v>
      </c>
      <c r="U12" s="338">
        <f>U13+U16+U17+U18+U19+U20</f>
        <v>11092.633900000001</v>
      </c>
      <c r="V12" s="219">
        <f t="shared" si="31"/>
        <v>4.7615636455730979</v>
      </c>
      <c r="W12" s="216">
        <f>V12/Q12*100</f>
        <v>100.8453085135699</v>
      </c>
      <c r="X12" s="218">
        <f>T12/T21*100</f>
        <v>3.2285860457013684</v>
      </c>
      <c r="Y12" s="341">
        <f>(T12+O12+J12)</f>
        <v>6803.7480000000005</v>
      </c>
      <c r="Z12" s="341">
        <f>(U12+P12+K12)</f>
        <v>32315.758710000002</v>
      </c>
      <c r="AA12" s="219">
        <f t="shared" si="33"/>
        <v>4.7496995347270357</v>
      </c>
      <c r="AB12" s="220">
        <f>Y12/Y21*100</f>
        <v>3.0780725421891733</v>
      </c>
      <c r="AC12" s="339">
        <f>AC14+AC15+AC16+AC17+AC18+AC19+AC20</f>
        <v>2395.8829999999998</v>
      </c>
      <c r="AD12" s="339">
        <f>AD14+AD15+AD16+AD17+AD18+AD19+AD20</f>
        <v>11405.44904</v>
      </c>
      <c r="AE12" s="219">
        <f t="shared" si="11"/>
        <v>4.7604365655585017</v>
      </c>
      <c r="AF12" s="219">
        <f t="shared" si="1"/>
        <v>100.22605705377705</v>
      </c>
      <c r="AG12" s="218">
        <f>AC12/AC21*100</f>
        <v>3.207125102165175</v>
      </c>
      <c r="AH12" s="339">
        <f>AH14+AH15+AH16+AH17+AH18+AH19+AH20</f>
        <v>2598.319</v>
      </c>
      <c r="AI12" s="339">
        <f>AI14+AI15+AI16+AI17+AI18+AI19+AI20</f>
        <v>12408.423119999999</v>
      </c>
      <c r="AJ12" s="219">
        <f t="shared" si="12"/>
        <v>4.775558012699749</v>
      </c>
      <c r="AK12" s="219">
        <f t="shared" si="13"/>
        <v>100.31764832769016</v>
      </c>
      <c r="AL12" s="218">
        <f>AH12/AH21*100</f>
        <v>3.8490281841520533</v>
      </c>
      <c r="AM12" s="339">
        <f>AM14+AM15+AM16+AM17+AM18+AM19+AM20</f>
        <v>3345.1879999999996</v>
      </c>
      <c r="AN12" s="339">
        <f>AN14+AN15+AN16+AN17+AN18+AN19+AN20</f>
        <v>15980.442480000002</v>
      </c>
      <c r="AO12" s="219">
        <f t="shared" si="14"/>
        <v>4.7771433115268866</v>
      </c>
      <c r="AP12" s="219">
        <f t="shared" si="15"/>
        <v>100.03319609609855</v>
      </c>
      <c r="AQ12" s="218">
        <f>AM12/AM21*100</f>
        <v>3.9748456435543789</v>
      </c>
      <c r="AR12" s="341">
        <f>AM12+AH12+AC12</f>
        <v>8339.39</v>
      </c>
      <c r="AS12" s="341">
        <f>AN12+AI12+AD12</f>
        <v>39794.314639999997</v>
      </c>
      <c r="AT12" s="219">
        <f t="shared" si="16"/>
        <v>4.7718495765277797</v>
      </c>
      <c r="AU12" s="221">
        <f>AR12/AR21*100</f>
        <v>3.6839676912368238</v>
      </c>
      <c r="AV12" s="341">
        <f t="shared" si="3"/>
        <v>15143.137999999999</v>
      </c>
      <c r="AW12" s="341">
        <f t="shared" si="3"/>
        <v>72110.073349999991</v>
      </c>
      <c r="AX12" s="219">
        <f t="shared" si="18"/>
        <v>4.7618976562189417</v>
      </c>
      <c r="AY12" s="216"/>
      <c r="AZ12" s="218">
        <f>AV12/AV21*100</f>
        <v>3.3846295193324294</v>
      </c>
      <c r="BA12" s="340">
        <f>BA14+BA15+BA16+BA17+BA18+BA19+BA20</f>
        <v>3529.1579999999999</v>
      </c>
      <c r="BB12" s="340">
        <f>BB14+BB15+BB16+BB17+BB18+BB19+BB20</f>
        <v>17364.966280000001</v>
      </c>
      <c r="BC12" s="219">
        <f>BB12/BA12</f>
        <v>4.920427558074759</v>
      </c>
      <c r="BD12" s="257">
        <f t="shared" si="4"/>
        <v>102.99937090440929</v>
      </c>
      <c r="BE12" s="218">
        <f>BA12/BA21*100</f>
        <v>3.4444329407421654</v>
      </c>
      <c r="BF12" s="340">
        <f>BF14+BF15+BF16+BF17+BF18+BF19+BF20</f>
        <v>3013.9749999999999</v>
      </c>
      <c r="BG12" s="340">
        <f>BG14+BG15+BG16+BG17+BG18+BG19+BG20</f>
        <v>14891.018899999999</v>
      </c>
      <c r="BH12" s="219">
        <f t="shared" si="34"/>
        <v>4.9406577360462514</v>
      </c>
      <c r="BI12" s="257">
        <f>BH12/BC12*100</f>
        <v>100.41114674960092</v>
      </c>
      <c r="BJ12" s="263">
        <f>BF12/BF21*100</f>
        <v>3.3884414581342268</v>
      </c>
      <c r="BK12" s="215">
        <f>BK13+BK16+BK17+BK18+BK19+BK20</f>
        <v>8699.7219999999998</v>
      </c>
      <c r="BL12" s="215">
        <f>BL13+BL16+BL17+BL18+BL19+BL20</f>
        <v>41225.494999999995</v>
      </c>
      <c r="BM12" s="219">
        <f t="shared" si="36"/>
        <v>4.7387140646563184</v>
      </c>
      <c r="BN12" s="257">
        <f t="shared" si="37"/>
        <v>95.912615643933719</v>
      </c>
      <c r="BO12" s="220">
        <f>BK12/BK21*100</f>
        <v>11.663306633249734</v>
      </c>
      <c r="BP12" s="215">
        <f>SUM(BP13:BP20)</f>
        <v>15242.855000000001</v>
      </c>
      <c r="BQ12" s="215">
        <f>SUM(BQ13:BQ20)</f>
        <v>73481.480179999999</v>
      </c>
      <c r="BR12" s="219">
        <f t="shared" si="20"/>
        <v>4.8207163408692129</v>
      </c>
      <c r="BS12" s="216"/>
      <c r="BT12" s="218">
        <f>BP12/BP21*100</f>
        <v>5.7304180086657244</v>
      </c>
      <c r="BU12" s="208">
        <f>BU13+BU16+BU17+BU18+BU19+BU20</f>
        <v>9019.5500000000011</v>
      </c>
      <c r="BV12" s="208">
        <f>BV13+BV16+BV17+BV18+BV19+BV20</f>
        <v>42253.544000000009</v>
      </c>
      <c r="BW12" s="223">
        <f t="shared" si="21"/>
        <v>4.6846620951156108</v>
      </c>
      <c r="BX12" s="224">
        <f t="shared" si="22"/>
        <v>98.85935363891538</v>
      </c>
      <c r="BY12" s="211">
        <f>BU12/BU21*100</f>
        <v>12.466109356784942</v>
      </c>
      <c r="BZ12" s="208">
        <f>BZ13+BZ16+BZ17+BZ18+BZ19+BZ20</f>
        <v>10191.74</v>
      </c>
      <c r="CA12" s="208">
        <f>CA13+CA16+CA17+CA18+CA19+CA20</f>
        <v>48004.19</v>
      </c>
      <c r="CB12" s="223">
        <f t="shared" si="23"/>
        <v>4.7101074006989974</v>
      </c>
      <c r="CC12" s="224">
        <f t="shared" si="45"/>
        <v>100.54316202677491</v>
      </c>
      <c r="CD12" s="211">
        <f>BZ12/BZ21*100</f>
        <v>13.033892642949782</v>
      </c>
      <c r="CE12" s="208">
        <f>CE13+CE16+CE17+CE18+CE19+CE20</f>
        <v>11637.477000000001</v>
      </c>
      <c r="CF12" s="208">
        <f>CF13+CF16+CF17+CF18+CF19+CF20</f>
        <v>53363.997000000003</v>
      </c>
      <c r="CG12" s="209">
        <f t="shared" si="24"/>
        <v>4.5855297501339853</v>
      </c>
      <c r="CH12" s="210">
        <f t="shared" si="5"/>
        <v>96.791035264382003</v>
      </c>
      <c r="CI12" s="211">
        <f>CE12/CE21*100</f>
        <v>13.534186603023283</v>
      </c>
      <c r="CJ12" s="208">
        <f>SUM(CJ13:CJ19)</f>
        <v>29020.764000000003</v>
      </c>
      <c r="CK12" s="208">
        <f>SUM(CK13:CK19)</f>
        <v>134686.10200000001</v>
      </c>
      <c r="CL12" s="223">
        <f t="shared" si="46"/>
        <v>4.6410253706621925</v>
      </c>
      <c r="CM12" s="225"/>
      <c r="CN12" s="227">
        <f>CJ12/CJ21*100</f>
        <v>12.364809946178749</v>
      </c>
      <c r="CO12" s="228">
        <f t="shared" si="25"/>
        <v>44263.619000000006</v>
      </c>
      <c r="CP12" s="223">
        <f t="shared" si="26"/>
        <v>208167.58218000003</v>
      </c>
      <c r="CQ12" s="223">
        <f t="shared" si="27"/>
        <v>4.7029047078143336</v>
      </c>
      <c r="CR12" s="225"/>
      <c r="CS12" s="225">
        <f>CO12/CO21*100</f>
        <v>8.8402855888987055</v>
      </c>
      <c r="CT12" s="222">
        <f>SUM(CT13:CT20)</f>
        <v>61234.760000000009</v>
      </c>
      <c r="CU12" s="208">
        <f>SUM(CU13:CU20)</f>
        <v>289213.28453</v>
      </c>
      <c r="CV12" s="223">
        <f>CU12/CT12</f>
        <v>4.7230247090051458</v>
      </c>
      <c r="CW12" s="225"/>
      <c r="CX12" s="211">
        <f>CT12/CT21*100</f>
        <v>6.4461677677703371</v>
      </c>
      <c r="CY12" s="181"/>
    </row>
    <row r="13" spans="1:104" ht="42.75" customHeight="1" thickBot="1">
      <c r="B13" s="147" t="s">
        <v>85</v>
      </c>
      <c r="C13" s="305" t="s">
        <v>3</v>
      </c>
      <c r="D13" s="306">
        <v>87.034999999999997</v>
      </c>
      <c r="E13" s="208">
        <f>53.34+85.966</f>
        <v>139.30599999999998</v>
      </c>
      <c r="F13" s="225">
        <f>258.166+291.425</f>
        <v>549.59100000000001</v>
      </c>
      <c r="G13" s="209">
        <f t="shared" si="6"/>
        <v>3.9452069544743233</v>
      </c>
      <c r="H13" s="303" t="e">
        <f t="shared" ref="H13" si="49">G13/#REF!*100</f>
        <v>#REF!</v>
      </c>
      <c r="I13" s="304">
        <f>E13/E12*100</f>
        <v>11.44972038570663</v>
      </c>
      <c r="J13" s="211">
        <f>J14+J15</f>
        <v>152.529</v>
      </c>
      <c r="K13" s="211">
        <f>K14+K15</f>
        <v>608.53300000000002</v>
      </c>
      <c r="L13" s="230">
        <f t="shared" si="8"/>
        <v>3.9896216457198306</v>
      </c>
      <c r="M13" s="229">
        <f t="shared" si="42"/>
        <v>101.12578862802459</v>
      </c>
      <c r="N13" s="344">
        <f>J13/J12*100</f>
        <v>5.7001626760034396</v>
      </c>
      <c r="O13" s="208">
        <f>O14+O15</f>
        <v>133.845</v>
      </c>
      <c r="P13" s="208">
        <f>P14+P15</f>
        <v>530.71800000000007</v>
      </c>
      <c r="Q13" s="232">
        <f t="shared" si="0"/>
        <v>3.965168665247115</v>
      </c>
      <c r="R13" s="225">
        <f t="shared" si="43"/>
        <v>99.387085226516419</v>
      </c>
      <c r="S13" s="345">
        <f>O13/O12*100</f>
        <v>7.4430406777229283</v>
      </c>
      <c r="T13" s="208">
        <f>T14+T15</f>
        <v>126.62899999999999</v>
      </c>
      <c r="U13" s="208">
        <f>U14+U15</f>
        <v>501.447</v>
      </c>
      <c r="V13" s="223">
        <f t="shared" si="31"/>
        <v>3.9599696751928866</v>
      </c>
      <c r="W13" s="225">
        <f t="shared" si="9"/>
        <v>99.868883508038508</v>
      </c>
      <c r="X13" s="345">
        <f>T13/T12*100</f>
        <v>5.435607523973867</v>
      </c>
      <c r="Y13" s="228">
        <f t="shared" si="10"/>
        <v>413.00299999999999</v>
      </c>
      <c r="Z13" s="223">
        <f>(U13+P13+K13)</f>
        <v>1640.6979999999999</v>
      </c>
      <c r="AA13" s="223">
        <f t="shared" si="33"/>
        <v>3.9726055258678508</v>
      </c>
      <c r="AB13" s="345">
        <f>Y13/Y12*100</f>
        <v>6.0702277626978534</v>
      </c>
      <c r="AC13" s="342">
        <f>AC14+AC15</f>
        <v>110.63600000000001</v>
      </c>
      <c r="AD13" s="208">
        <f>AD14+AD15</f>
        <v>418.38599999999997</v>
      </c>
      <c r="AE13" s="223">
        <f t="shared" si="11"/>
        <v>3.7816443110741527</v>
      </c>
      <c r="AF13" s="223">
        <f t="shared" si="1"/>
        <v>95.193048654082489</v>
      </c>
      <c r="AG13" s="345">
        <f>AC13/AC12*100</f>
        <v>4.6177547067198201</v>
      </c>
      <c r="AH13" s="342">
        <f>AH14+AH15</f>
        <v>116.979</v>
      </c>
      <c r="AI13" s="208">
        <f>AI14+AI15</f>
        <v>458.65600000000001</v>
      </c>
      <c r="AJ13" s="223">
        <f t="shared" si="12"/>
        <v>3.9208404927380127</v>
      </c>
      <c r="AK13" s="223">
        <f t="shared" si="13"/>
        <v>103.68083749326287</v>
      </c>
      <c r="AL13" s="211">
        <f>AH13/AH12*100</f>
        <v>4.5021030904981263</v>
      </c>
      <c r="AM13" s="342">
        <f>AM14+AM15</f>
        <v>159.57900000000001</v>
      </c>
      <c r="AN13" s="208">
        <f>AN14+AN15</f>
        <v>626.995</v>
      </c>
      <c r="AO13" s="223">
        <f>AN13/AM13</f>
        <v>3.9290570814455537</v>
      </c>
      <c r="AP13" s="223">
        <f t="shared" si="15"/>
        <v>100.20956192231638</v>
      </c>
      <c r="AQ13" s="211">
        <f>AM13/AM12*100</f>
        <v>4.7704045333177101</v>
      </c>
      <c r="AR13" s="228">
        <f t="shared" ref="AR13:AR21" si="50">AM13+AH13+AC13</f>
        <v>387.19400000000002</v>
      </c>
      <c r="AS13" s="223">
        <f t="shared" ref="AS13:AS21" si="51">AN13+AI13+AD13</f>
        <v>1504.037</v>
      </c>
      <c r="AT13" s="223">
        <f t="shared" si="16"/>
        <v>3.8844532714866449</v>
      </c>
      <c r="AU13" s="227">
        <f>AR13/AR12*100</f>
        <v>4.642953501395187</v>
      </c>
      <c r="AV13" s="228">
        <f>AR13+Y13</f>
        <v>800.197</v>
      </c>
      <c r="AW13" s="223">
        <f t="shared" si="17"/>
        <v>3144.7349999999997</v>
      </c>
      <c r="AX13" s="223">
        <f t="shared" si="18"/>
        <v>3.9299509995663562</v>
      </c>
      <c r="AY13" s="225"/>
      <c r="AZ13" s="211">
        <f>AV13/AV12*100</f>
        <v>5.2842218039616364</v>
      </c>
      <c r="BA13" s="343">
        <f>BA14+BA15</f>
        <v>176.97899999999998</v>
      </c>
      <c r="BB13" s="222">
        <f>BB14+BB15</f>
        <v>706.58400000000006</v>
      </c>
      <c r="BC13" s="223">
        <f t="shared" si="19"/>
        <v>3.9924736833183605</v>
      </c>
      <c r="BD13" s="224">
        <f t="shared" si="4"/>
        <v>101.61404124598452</v>
      </c>
      <c r="BE13" s="211">
        <f>BA13/BA12*100</f>
        <v>5.0147655616438813</v>
      </c>
      <c r="BF13" s="208">
        <f>BF14+BF15</f>
        <v>143.70400000000001</v>
      </c>
      <c r="BG13" s="208">
        <f>BG14+BG15</f>
        <v>578.577</v>
      </c>
      <c r="BH13" s="223">
        <f t="shared" si="34"/>
        <v>4.0261718532539108</v>
      </c>
      <c r="BI13" s="224">
        <f t="shared" si="35"/>
        <v>100.84404238095171</v>
      </c>
      <c r="BJ13" s="264">
        <f>BF13/BF12*100</f>
        <v>4.7679227598105491</v>
      </c>
      <c r="BK13" s="208">
        <f>BK14+BK15</f>
        <v>6518.4960000000001</v>
      </c>
      <c r="BL13" s="208">
        <f>BL14+BL15</f>
        <v>30354.226999999999</v>
      </c>
      <c r="BM13" s="223">
        <f t="shared" si="36"/>
        <v>4.656630455859756</v>
      </c>
      <c r="BN13" s="224">
        <f t="shared" si="37"/>
        <v>115.65900874539956</v>
      </c>
      <c r="BO13" s="211">
        <f>BK13/BK12*100</f>
        <v>74.927635618701387</v>
      </c>
      <c r="BP13" s="208">
        <f>BA13+BF13+BK13</f>
        <v>6839.1790000000001</v>
      </c>
      <c r="BQ13" s="208">
        <f>BB13+BG13+BL13</f>
        <v>31639.387999999999</v>
      </c>
      <c r="BR13" s="223">
        <f t="shared" si="20"/>
        <v>4.6261967993526705</v>
      </c>
      <c r="BS13" s="225"/>
      <c r="BT13" s="211">
        <f>BP13/BP12*100</f>
        <v>44.868097216695951</v>
      </c>
      <c r="BU13" s="208">
        <f>BU14+BU15</f>
        <v>6637.2170000000006</v>
      </c>
      <c r="BV13" s="225">
        <f>BV14+BV15</f>
        <v>30389.872000000003</v>
      </c>
      <c r="BW13" s="223">
        <f t="shared" si="21"/>
        <v>4.5787070092781361</v>
      </c>
      <c r="BX13" s="224">
        <f t="shared" si="22"/>
        <v>98.326613045199593</v>
      </c>
      <c r="BY13" s="211">
        <f>BU13/BU12*100</f>
        <v>73.587008221030985</v>
      </c>
      <c r="BZ13" s="208">
        <f>BZ14+BZ15</f>
        <v>7940.5320000000002</v>
      </c>
      <c r="CA13" s="225">
        <f>CA14+CA15</f>
        <v>36792.353000000003</v>
      </c>
      <c r="CB13" s="223">
        <f t="shared" si="23"/>
        <v>4.6334871517424778</v>
      </c>
      <c r="CC13" s="224">
        <f t="shared" si="45"/>
        <v>101.19641074114018</v>
      </c>
      <c r="CD13" s="211">
        <f>BZ13/BZ12*100</f>
        <v>77.911445935630226</v>
      </c>
      <c r="CE13" s="208">
        <f>CE14+CE15</f>
        <v>8960.5489999999991</v>
      </c>
      <c r="CF13" s="225">
        <f>CF14+CF15</f>
        <v>40036.716</v>
      </c>
      <c r="CG13" s="209">
        <f t="shared" si="24"/>
        <v>4.4681097106884859</v>
      </c>
      <c r="CH13" s="210">
        <f t="shared" si="5"/>
        <v>113.2541274069572</v>
      </c>
      <c r="CI13" s="211">
        <f>CE13/CE12*100</f>
        <v>76.997350886278866</v>
      </c>
      <c r="CJ13" s="208">
        <f>BU13+BZ13+CE13</f>
        <v>23538.297999999999</v>
      </c>
      <c r="CK13" s="208">
        <f>BV13+CA13+CF13</f>
        <v>107218.94100000001</v>
      </c>
      <c r="CL13" s="223">
        <f t="shared" si="46"/>
        <v>4.5550846964381204</v>
      </c>
      <c r="CM13" s="225"/>
      <c r="CN13" s="227">
        <f>CJ13/CJ12*100</f>
        <v>81.108471162234025</v>
      </c>
      <c r="CO13" s="228">
        <f t="shared" si="25"/>
        <v>30377.476999999999</v>
      </c>
      <c r="CP13" s="223">
        <f t="shared" si="26"/>
        <v>138858.329</v>
      </c>
      <c r="CQ13" s="223">
        <f t="shared" si="27"/>
        <v>4.5710948608404838</v>
      </c>
      <c r="CR13" s="225"/>
      <c r="CS13" s="225">
        <f>CO13/CO12*100</f>
        <v>68.628543454614487</v>
      </c>
      <c r="CT13" s="222">
        <f t="shared" ref="CT13:CU20" si="52">Y13+AR13+BP13+CJ13</f>
        <v>31177.673999999999</v>
      </c>
      <c r="CU13" s="208">
        <f t="shared" si="52"/>
        <v>142003.06400000001</v>
      </c>
      <c r="CV13" s="223">
        <f t="shared" si="29"/>
        <v>4.5546394512945394</v>
      </c>
      <c r="CW13" s="225"/>
      <c r="CX13" s="211">
        <f>CT13/CT12*100</f>
        <v>50.914993379577211</v>
      </c>
      <c r="CY13" s="181"/>
    </row>
    <row r="14" spans="1:104" ht="108" customHeight="1" thickBot="1">
      <c r="B14" s="147"/>
      <c r="C14" s="367" t="s">
        <v>116</v>
      </c>
      <c r="D14" s="306"/>
      <c r="E14" s="302"/>
      <c r="F14" s="307"/>
      <c r="G14" s="209"/>
      <c r="H14" s="303"/>
      <c r="I14" s="304"/>
      <c r="J14" s="211">
        <v>63.075000000000003</v>
      </c>
      <c r="K14" s="211">
        <v>305.28300000000002</v>
      </c>
      <c r="L14" s="230">
        <f t="shared" si="8"/>
        <v>4.84</v>
      </c>
      <c r="M14" s="229">
        <v>100</v>
      </c>
      <c r="N14" s="344">
        <f>J14/J12*100</f>
        <v>2.3571764109704842</v>
      </c>
      <c r="O14" s="208">
        <v>53.091000000000001</v>
      </c>
      <c r="P14" s="208">
        <v>256.96100000000001</v>
      </c>
      <c r="Q14" s="232">
        <f t="shared" si="0"/>
        <v>4.840010547927144</v>
      </c>
      <c r="R14" s="225">
        <f t="shared" si="43"/>
        <v>100.00021793237902</v>
      </c>
      <c r="S14" s="345">
        <f>O14/O12*100</f>
        <v>2.9523588675033658</v>
      </c>
      <c r="T14" s="208">
        <v>49.774999999999999</v>
      </c>
      <c r="U14" s="208">
        <v>240.911</v>
      </c>
      <c r="V14" s="223">
        <f t="shared" si="31"/>
        <v>4.84</v>
      </c>
      <c r="W14" s="225">
        <f t="shared" si="9"/>
        <v>99.999782068095939</v>
      </c>
      <c r="X14" s="345">
        <f>T14/T12*100</f>
        <v>2.1366145551635034</v>
      </c>
      <c r="Y14" s="228">
        <f t="shared" si="10"/>
        <v>165.941</v>
      </c>
      <c r="Z14" s="223">
        <f t="shared" ref="Z14:Z15" si="53">(U14+P14+K14)</f>
        <v>803.15499999999997</v>
      </c>
      <c r="AA14" s="223">
        <f t="shared" si="33"/>
        <v>4.8400033746934152</v>
      </c>
      <c r="AB14" s="345">
        <f>Y14/Y12*100</f>
        <v>2.4389645236713648</v>
      </c>
      <c r="AC14" s="208">
        <v>29.882000000000001</v>
      </c>
      <c r="AD14" s="225">
        <v>144.62899999999999</v>
      </c>
      <c r="AE14" s="223">
        <f t="shared" si="11"/>
        <v>4.8400040157954614</v>
      </c>
      <c r="AF14" s="223">
        <f>AE14/AA14*100</f>
        <v>100.0000132459008</v>
      </c>
      <c r="AG14" s="345">
        <f>AC14/AC12*100</f>
        <v>1.2472228401804264</v>
      </c>
      <c r="AH14" s="208">
        <v>42.825000000000003</v>
      </c>
      <c r="AI14" s="225">
        <v>207.273</v>
      </c>
      <c r="AJ14" s="223">
        <f t="shared" si="12"/>
        <v>4.84</v>
      </c>
      <c r="AK14" s="223">
        <f t="shared" si="13"/>
        <v>99.999917029088238</v>
      </c>
      <c r="AL14" s="352">
        <f>AH14/AH12*100</f>
        <v>1.648180997021536</v>
      </c>
      <c r="AM14" s="208">
        <v>59.325000000000003</v>
      </c>
      <c r="AN14" s="225">
        <v>287.13299999999998</v>
      </c>
      <c r="AO14" s="223">
        <f t="shared" ref="AO14:AO15" si="54">AN14/AM14</f>
        <v>4.84</v>
      </c>
      <c r="AP14" s="223">
        <f t="shared" si="15"/>
        <v>100</v>
      </c>
      <c r="AQ14" s="352">
        <f>AM14/AM12*100</f>
        <v>1.7734429275723818</v>
      </c>
      <c r="AR14" s="228">
        <f t="shared" si="50"/>
        <v>132.03200000000001</v>
      </c>
      <c r="AS14" s="223">
        <f t="shared" si="51"/>
        <v>639.03499999999997</v>
      </c>
      <c r="AT14" s="223">
        <f t="shared" si="16"/>
        <v>4.840000908870576</v>
      </c>
      <c r="AU14" s="355">
        <f>AR14/AR12*100</f>
        <v>1.5832333060331754</v>
      </c>
      <c r="AV14" s="228">
        <f t="shared" si="3"/>
        <v>297.97300000000001</v>
      </c>
      <c r="AW14" s="223">
        <f t="shared" si="17"/>
        <v>1442.19</v>
      </c>
      <c r="AX14" s="223">
        <f t="shared" si="18"/>
        <v>4.8400022820859609</v>
      </c>
      <c r="AY14" s="225"/>
      <c r="AZ14" s="352">
        <f>AV14/AV12*100</f>
        <v>1.9677097309685749</v>
      </c>
      <c r="BA14" s="222">
        <v>56.924999999999997</v>
      </c>
      <c r="BB14" s="225">
        <v>285.19400000000002</v>
      </c>
      <c r="BC14" s="223">
        <f t="shared" si="19"/>
        <v>5.0099956082564781</v>
      </c>
      <c r="BD14" s="224">
        <f t="shared" si="4"/>
        <v>103.51230595571236</v>
      </c>
      <c r="BE14" s="357">
        <f>BA14/BA12*100</f>
        <v>1.6129909740510342</v>
      </c>
      <c r="BF14" s="208">
        <v>49.45</v>
      </c>
      <c r="BG14" s="225">
        <v>247.745</v>
      </c>
      <c r="BH14" s="223">
        <f t="shared" si="34"/>
        <v>5.0100101112234574</v>
      </c>
      <c r="BI14" s="224">
        <f t="shared" si="35"/>
        <v>100.00028948063257</v>
      </c>
      <c r="BJ14" s="356">
        <f>BF14/BF12*100</f>
        <v>1.640690450318931</v>
      </c>
      <c r="BK14" s="208">
        <v>4982.87</v>
      </c>
      <c r="BL14" s="225">
        <v>24964.179</v>
      </c>
      <c r="BM14" s="223">
        <f t="shared" si="36"/>
        <v>5.0100000602062664</v>
      </c>
      <c r="BN14" s="224">
        <f t="shared" si="37"/>
        <v>99.999799381299283</v>
      </c>
      <c r="BO14" s="211">
        <f t="shared" ref="BO14:BO15" si="55">BK14/BK13*100</f>
        <v>76.442019754250055</v>
      </c>
      <c r="BP14" s="208"/>
      <c r="BQ14" s="208"/>
      <c r="BR14" s="223"/>
      <c r="BS14" s="225"/>
      <c r="BT14" s="211"/>
      <c r="BU14" s="208">
        <v>4728.826</v>
      </c>
      <c r="BV14" s="225">
        <v>23691.419000000002</v>
      </c>
      <c r="BW14" s="223">
        <f t="shared" si="21"/>
        <v>5.0100001564870436</v>
      </c>
      <c r="BX14" s="224">
        <f t="shared" si="22"/>
        <v>100.00000192177198</v>
      </c>
      <c r="BY14" s="211">
        <f t="shared" ref="BY14:BY15" si="56">BU14/BU13*100</f>
        <v>71.247120592862927</v>
      </c>
      <c r="BZ14" s="208">
        <v>5947.39</v>
      </c>
      <c r="CA14" s="225">
        <v>29796.423999999999</v>
      </c>
      <c r="CB14" s="223">
        <f t="shared" si="23"/>
        <v>5.0100000168140975</v>
      </c>
      <c r="CC14" s="224">
        <f t="shared" si="45"/>
        <v>99.999997212116938</v>
      </c>
      <c r="CD14" s="211">
        <f t="shared" ref="CD14:CD15" si="57">BZ14/BZ13*100</f>
        <v>74.899137740393215</v>
      </c>
      <c r="CE14" s="208">
        <v>5723.4589999999998</v>
      </c>
      <c r="CF14" s="225">
        <v>28674.53</v>
      </c>
      <c r="CG14" s="209">
        <f t="shared" si="24"/>
        <v>5.0100000716350026</v>
      </c>
      <c r="CH14" s="210">
        <f>CG14/CB14*100</f>
        <v>100.00000109422965</v>
      </c>
      <c r="CI14" s="211">
        <f t="shared" ref="CI14:CI15" si="58">CE14/CE13*100</f>
        <v>63.87397691815535</v>
      </c>
      <c r="CJ14" s="208"/>
      <c r="CK14" s="208"/>
      <c r="CL14" s="223"/>
      <c r="CM14" s="225"/>
      <c r="CN14" s="227"/>
      <c r="CO14" s="228"/>
      <c r="CP14" s="223"/>
      <c r="CQ14" s="223"/>
      <c r="CR14" s="225"/>
      <c r="CS14" s="225"/>
      <c r="CT14" s="222"/>
      <c r="CU14" s="208"/>
      <c r="CV14" s="223"/>
      <c r="CW14" s="225"/>
      <c r="CX14" s="211"/>
      <c r="CY14" s="181"/>
    </row>
    <row r="15" spans="1:104" ht="108.75" customHeight="1" thickBot="1">
      <c r="B15" s="147"/>
      <c r="C15" s="368" t="s">
        <v>117</v>
      </c>
      <c r="D15" s="306"/>
      <c r="E15" s="302"/>
      <c r="F15" s="307"/>
      <c r="G15" s="209"/>
      <c r="H15" s="303"/>
      <c r="I15" s="304"/>
      <c r="J15" s="320">
        <v>89.453999999999994</v>
      </c>
      <c r="K15" s="229">
        <v>303.25</v>
      </c>
      <c r="L15" s="230">
        <f t="shared" si="8"/>
        <v>3.3900105081941558</v>
      </c>
      <c r="M15" s="229">
        <v>100</v>
      </c>
      <c r="N15" s="344">
        <f>J15/J12*100</f>
        <v>3.3429862650329554</v>
      </c>
      <c r="O15" s="208">
        <v>80.754000000000005</v>
      </c>
      <c r="P15" s="208">
        <v>273.75700000000001</v>
      </c>
      <c r="Q15" s="232">
        <f t="shared" si="0"/>
        <v>3.3900116402902642</v>
      </c>
      <c r="R15" s="225">
        <f t="shared" si="43"/>
        <v>100.00003339506192</v>
      </c>
      <c r="S15" s="345">
        <f>O15/O12*100</f>
        <v>4.4906818102195629</v>
      </c>
      <c r="T15" s="208">
        <v>76.853999999999999</v>
      </c>
      <c r="U15" s="208">
        <v>260.536</v>
      </c>
      <c r="V15" s="223">
        <f t="shared" si="31"/>
        <v>3.3900122309834231</v>
      </c>
      <c r="W15" s="225">
        <f t="shared" si="9"/>
        <v>100.00001742451713</v>
      </c>
      <c r="X15" s="345">
        <f>T15/T12*100</f>
        <v>3.2989929688103636</v>
      </c>
      <c r="Y15" s="228">
        <f t="shared" si="10"/>
        <v>247.06200000000001</v>
      </c>
      <c r="Z15" s="223">
        <f t="shared" si="53"/>
        <v>837.54300000000001</v>
      </c>
      <c r="AA15" s="223">
        <f t="shared" si="33"/>
        <v>3.3900114141389608</v>
      </c>
      <c r="AB15" s="345">
        <f>Y15/Y12*100</f>
        <v>3.6312632390264894</v>
      </c>
      <c r="AC15" s="208">
        <v>80.754000000000005</v>
      </c>
      <c r="AD15" s="225">
        <v>273.75700000000001</v>
      </c>
      <c r="AE15" s="223">
        <f t="shared" si="11"/>
        <v>3.3900116402902642</v>
      </c>
      <c r="AF15" s="223">
        <f t="shared" si="1"/>
        <v>100.00000667110744</v>
      </c>
      <c r="AG15" s="345">
        <f>AC15/AC12*100</f>
        <v>3.3705318665393933</v>
      </c>
      <c r="AH15" s="208">
        <v>74.153999999999996</v>
      </c>
      <c r="AI15" s="225">
        <v>251.38300000000001</v>
      </c>
      <c r="AJ15" s="223">
        <f t="shared" si="12"/>
        <v>3.3900126763222485</v>
      </c>
      <c r="AK15" s="223">
        <f t="shared" si="13"/>
        <v>100.00003056131052</v>
      </c>
      <c r="AL15" s="352">
        <f>AH15/AH12*100</f>
        <v>2.8539220934765899</v>
      </c>
      <c r="AM15" s="208">
        <v>100.254</v>
      </c>
      <c r="AN15" s="225">
        <v>339.86200000000002</v>
      </c>
      <c r="AO15" s="223">
        <f t="shared" si="54"/>
        <v>3.3900093761844916</v>
      </c>
      <c r="AP15" s="223">
        <f t="shared" si="15"/>
        <v>99.999902651167645</v>
      </c>
      <c r="AQ15" s="352">
        <f>AM15/AM12*100</f>
        <v>2.9969616057453279</v>
      </c>
      <c r="AR15" s="228">
        <f t="shared" si="50"/>
        <v>255.16200000000003</v>
      </c>
      <c r="AS15" s="223">
        <f t="shared" si="51"/>
        <v>865.00199999999995</v>
      </c>
      <c r="AT15" s="223">
        <f t="shared" si="16"/>
        <v>3.3900110518023836</v>
      </c>
      <c r="AU15" s="355">
        <f>AR15/AR12*100</f>
        <v>3.0597201953620115</v>
      </c>
      <c r="AV15" s="228">
        <f t="shared" si="3"/>
        <v>502.22400000000005</v>
      </c>
      <c r="AW15" s="223">
        <f t="shared" si="17"/>
        <v>1702.5450000000001</v>
      </c>
      <c r="AX15" s="223">
        <f t="shared" si="18"/>
        <v>3.3900112300487431</v>
      </c>
      <c r="AY15" s="225"/>
      <c r="AZ15" s="352">
        <f>AV15/AV12*100</f>
        <v>3.3165120729930617</v>
      </c>
      <c r="BA15" s="222">
        <v>120.054</v>
      </c>
      <c r="BB15" s="225">
        <v>421.39</v>
      </c>
      <c r="BC15" s="223">
        <f t="shared" si="19"/>
        <v>3.5100038316091089</v>
      </c>
      <c r="BD15" s="224">
        <f t="shared" si="4"/>
        <v>103.53964966196267</v>
      </c>
      <c r="BE15" s="357">
        <f>BA15/BA12*100</f>
        <v>3.4017745875928478</v>
      </c>
      <c r="BF15" s="208">
        <v>94.254000000000005</v>
      </c>
      <c r="BG15" s="225">
        <v>330.83199999999999</v>
      </c>
      <c r="BH15" s="223">
        <f t="shared" si="34"/>
        <v>3.5100048804294777</v>
      </c>
      <c r="BI15" s="224">
        <f t="shared" si="35"/>
        <v>100.00002988088956</v>
      </c>
      <c r="BJ15" s="356">
        <f>BF15/BF12*100</f>
        <v>3.1272323094916183</v>
      </c>
      <c r="BK15" s="208">
        <v>1535.626</v>
      </c>
      <c r="BL15" s="225">
        <v>5390.0479999999998</v>
      </c>
      <c r="BM15" s="223">
        <f t="shared" si="36"/>
        <v>3.5100004818881678</v>
      </c>
      <c r="BN15" s="224">
        <f t="shared" si="37"/>
        <v>99.999874685607011</v>
      </c>
      <c r="BO15" s="211">
        <f t="shared" si="55"/>
        <v>30.818102820262215</v>
      </c>
      <c r="BP15" s="208"/>
      <c r="BQ15" s="208"/>
      <c r="BR15" s="223"/>
      <c r="BS15" s="225"/>
      <c r="BT15" s="211"/>
      <c r="BU15" s="208">
        <v>1908.3910000000001</v>
      </c>
      <c r="BV15" s="225">
        <v>6698.4530000000004</v>
      </c>
      <c r="BW15" s="223">
        <f t="shared" si="21"/>
        <v>3.5100003091609633</v>
      </c>
      <c r="BX15" s="224">
        <f t="shared" si="22"/>
        <v>99.999995078997699</v>
      </c>
      <c r="BY15" s="211">
        <f t="shared" si="56"/>
        <v>40.356549384561838</v>
      </c>
      <c r="BZ15" s="208">
        <v>1993.1420000000001</v>
      </c>
      <c r="CA15" s="225">
        <v>6995.9290000000001</v>
      </c>
      <c r="CB15" s="223">
        <f t="shared" si="23"/>
        <v>3.5100002909978314</v>
      </c>
      <c r="CC15" s="224">
        <f t="shared" si="45"/>
        <v>99.999999482531905</v>
      </c>
      <c r="CD15" s="211">
        <f t="shared" si="57"/>
        <v>33.51288548422081</v>
      </c>
      <c r="CE15" s="208">
        <v>3237.09</v>
      </c>
      <c r="CF15" s="225">
        <v>11362.186</v>
      </c>
      <c r="CG15" s="209">
        <f t="shared" si="24"/>
        <v>3.510000030891943</v>
      </c>
      <c r="CH15" s="210">
        <f>CG15/CB15*100</f>
        <v>99.999992589576451</v>
      </c>
      <c r="CI15" s="211">
        <f t="shared" si="58"/>
        <v>56.558280578230757</v>
      </c>
      <c r="CJ15" s="208"/>
      <c r="CK15" s="208"/>
      <c r="CL15" s="223"/>
      <c r="CM15" s="225"/>
      <c r="CN15" s="227"/>
      <c r="CO15" s="228"/>
      <c r="CP15" s="223"/>
      <c r="CQ15" s="223"/>
      <c r="CR15" s="225"/>
      <c r="CS15" s="225"/>
      <c r="CT15" s="222"/>
      <c r="CU15" s="208"/>
      <c r="CV15" s="223"/>
      <c r="CW15" s="225"/>
      <c r="CX15" s="211"/>
      <c r="CY15" s="181"/>
    </row>
    <row r="16" spans="1:104" ht="72.75" customHeight="1" thickBot="1">
      <c r="B16" s="147" t="s">
        <v>86</v>
      </c>
      <c r="C16" s="305" t="s">
        <v>4</v>
      </c>
      <c r="D16" s="306">
        <v>2319.3069999999998</v>
      </c>
      <c r="E16" s="302">
        <v>343.46</v>
      </c>
      <c r="F16" s="307">
        <v>1662.35</v>
      </c>
      <c r="G16" s="209">
        <f t="shared" si="6"/>
        <v>4.8400104815699061</v>
      </c>
      <c r="H16" s="303" t="e">
        <f t="shared" ref="H16" si="59">G16/#REF!*100</f>
        <v>#REF!</v>
      </c>
      <c r="I16" s="304">
        <f>E16/E12*100</f>
        <v>28.229372487005577</v>
      </c>
      <c r="J16" s="211">
        <v>1031.422</v>
      </c>
      <c r="K16" s="229">
        <v>4992.0820000000003</v>
      </c>
      <c r="L16" s="230">
        <f t="shared" si="8"/>
        <v>4.8399995346230744</v>
      </c>
      <c r="M16" s="324">
        <f t="shared" si="42"/>
        <v>99.999773823902387</v>
      </c>
      <c r="N16" s="231">
        <f>J16/J12*100</f>
        <v>38.545281143971437</v>
      </c>
      <c r="O16" s="208">
        <v>413.55799999999999</v>
      </c>
      <c r="P16" s="225">
        <v>2001.6210000000001</v>
      </c>
      <c r="Q16" s="232">
        <f t="shared" ref="Q16:Q20" si="60">P16/O16</f>
        <v>4.8400006770513446</v>
      </c>
      <c r="R16" s="225">
        <f t="shared" si="43"/>
        <v>100.00002360389215</v>
      </c>
      <c r="S16" s="211">
        <f>O16/O12*100</f>
        <v>22.997713897401763</v>
      </c>
      <c r="T16" s="208">
        <v>959.66700000000003</v>
      </c>
      <c r="U16" s="225">
        <v>4644.7889999999998</v>
      </c>
      <c r="V16" s="223">
        <f t="shared" si="31"/>
        <v>4.8400007502602458</v>
      </c>
      <c r="W16" s="225">
        <f t="shared" si="9"/>
        <v>100.0000015125804</v>
      </c>
      <c r="X16" s="211">
        <f>T16/T12*100</f>
        <v>41.194143250830614</v>
      </c>
      <c r="Y16" s="228">
        <f t="shared" si="10"/>
        <v>2404.6469999999999</v>
      </c>
      <c r="Z16" s="223">
        <f t="shared" ref="Z16:Z20" si="61">(U16+P16+K16)</f>
        <v>11638.492</v>
      </c>
      <c r="AA16" s="223">
        <f t="shared" si="33"/>
        <v>4.8400002162479572</v>
      </c>
      <c r="AB16" s="226">
        <f>Y16/Y12*100</f>
        <v>35.342975665765394</v>
      </c>
      <c r="AC16" s="208">
        <v>1461.3720000000001</v>
      </c>
      <c r="AD16" s="225">
        <v>7073.0410000000002</v>
      </c>
      <c r="AE16" s="223">
        <f t="shared" si="11"/>
        <v>4.8400003558300009</v>
      </c>
      <c r="AF16" s="223">
        <f t="shared" si="1"/>
        <v>100.00000288392638</v>
      </c>
      <c r="AG16" s="211">
        <f>AC16/AC12*100</f>
        <v>60.995132066131788</v>
      </c>
      <c r="AH16" s="208">
        <v>1487.4929999999999</v>
      </c>
      <c r="AI16" s="225">
        <v>7199.4669999999996</v>
      </c>
      <c r="AJ16" s="223">
        <f t="shared" si="12"/>
        <v>4.8400005915994226</v>
      </c>
      <c r="AK16" s="223">
        <f t="shared" si="13"/>
        <v>100.00000487126867</v>
      </c>
      <c r="AL16" s="211">
        <f>AH16/AH12*100</f>
        <v>57.248282447228384</v>
      </c>
      <c r="AM16" s="208">
        <v>1979.902</v>
      </c>
      <c r="AN16" s="225">
        <v>9582.7260000000006</v>
      </c>
      <c r="AO16" s="223">
        <f t="shared" si="14"/>
        <v>4.840000161624161</v>
      </c>
      <c r="AP16" s="223">
        <f t="shared" si="15"/>
        <v>99.999991116214687</v>
      </c>
      <c r="AQ16" s="211">
        <f>AM16/AM12*100</f>
        <v>59.186568886412374</v>
      </c>
      <c r="AR16" s="228">
        <f t="shared" si="50"/>
        <v>4928.7669999999998</v>
      </c>
      <c r="AS16" s="223">
        <f t="shared" si="51"/>
        <v>23855.234</v>
      </c>
      <c r="AT16" s="223">
        <f t="shared" si="16"/>
        <v>4.8400003489716603</v>
      </c>
      <c r="AU16" s="227">
        <f>AR16/AR12*100</f>
        <v>59.102248485800523</v>
      </c>
      <c r="AV16" s="228">
        <f t="shared" si="3"/>
        <v>7333.4139999999998</v>
      </c>
      <c r="AW16" s="223">
        <f t="shared" si="17"/>
        <v>35493.726000000002</v>
      </c>
      <c r="AX16" s="223">
        <f t="shared" si="18"/>
        <v>4.840000305451186</v>
      </c>
      <c r="AY16" s="225"/>
      <c r="AZ16" s="211">
        <f>AV16/AV12*100</f>
        <v>48.427307470882191</v>
      </c>
      <c r="BA16" s="222">
        <v>2194.0630000000001</v>
      </c>
      <c r="BB16" s="225">
        <v>10992.255999999999</v>
      </c>
      <c r="BC16" s="223">
        <f t="shared" si="19"/>
        <v>5.0100001686369078</v>
      </c>
      <c r="BD16" s="224">
        <f t="shared" si="4"/>
        <v>103.51239672181541</v>
      </c>
      <c r="BE16" s="211">
        <f>BA16/BA12*100</f>
        <v>62.169588326734029</v>
      </c>
      <c r="BF16" s="208">
        <v>1716.6410000000001</v>
      </c>
      <c r="BG16" s="225">
        <v>8600.3719999999994</v>
      </c>
      <c r="BH16" s="223">
        <f t="shared" si="34"/>
        <v>5.0100003436944585</v>
      </c>
      <c r="BI16" s="224">
        <f t="shared" si="35"/>
        <v>100.00000349416258</v>
      </c>
      <c r="BJ16" s="264">
        <f>BF16/BF12*100</f>
        <v>56.956046417106975</v>
      </c>
      <c r="BK16" s="208">
        <v>1342.124</v>
      </c>
      <c r="BL16" s="225">
        <v>6724.0410000000002</v>
      </c>
      <c r="BM16" s="223">
        <f t="shared" si="36"/>
        <v>5.0099998211789671</v>
      </c>
      <c r="BN16" s="224">
        <f t="shared" si="37"/>
        <v>99.999989570549786</v>
      </c>
      <c r="BO16" s="211">
        <f>BK16/BK12*100</f>
        <v>15.427205604960712</v>
      </c>
      <c r="BP16" s="208">
        <f t="shared" ref="BP16:BP20" si="62">BA16+BF16+BK16</f>
        <v>5252.8280000000004</v>
      </c>
      <c r="BQ16" s="208">
        <f t="shared" ref="BQ16:BQ20" si="63">BB16+BG16+BL16</f>
        <v>26316.668999999998</v>
      </c>
      <c r="BR16" s="223">
        <f t="shared" si="20"/>
        <v>5.0100001370690217</v>
      </c>
      <c r="BS16" s="225"/>
      <c r="BT16" s="211">
        <f>BP16/BP12*100</f>
        <v>34.460919558704717</v>
      </c>
      <c r="BU16" s="208">
        <v>1390.922</v>
      </c>
      <c r="BV16" s="225">
        <v>6968.52</v>
      </c>
      <c r="BW16" s="223">
        <f t="shared" si="21"/>
        <v>5.0100005607791092</v>
      </c>
      <c r="BX16" s="224">
        <f t="shared" si="22"/>
        <v>100.00001476247841</v>
      </c>
      <c r="BY16" s="211">
        <f>BU16/BU12*100</f>
        <v>15.421190635896467</v>
      </c>
      <c r="BZ16" s="208">
        <v>1037.5899999999999</v>
      </c>
      <c r="CA16" s="225">
        <v>5198.326</v>
      </c>
      <c r="CB16" s="223">
        <f t="shared" si="23"/>
        <v>5.0100000963771825</v>
      </c>
      <c r="CC16" s="224">
        <f t="shared" si="45"/>
        <v>99.999990730501494</v>
      </c>
      <c r="CD16" s="211">
        <f>BZ16/BZ12*100</f>
        <v>10.180695347408783</v>
      </c>
      <c r="CE16" s="208">
        <v>1185.9390000000001</v>
      </c>
      <c r="CF16" s="225">
        <v>5941.5550000000003</v>
      </c>
      <c r="CG16" s="209">
        <f t="shared" si="24"/>
        <v>5.0100005143603505</v>
      </c>
      <c r="CH16" s="210">
        <f t="shared" si="5"/>
        <v>103.51218315410149</v>
      </c>
      <c r="CI16" s="211">
        <f>CE16/CE12*100</f>
        <v>10.190688239383846</v>
      </c>
      <c r="CJ16" s="208">
        <f t="shared" ref="CJ16:CJ20" si="64">BU16+BZ16+CE16</f>
        <v>3614.451</v>
      </c>
      <c r="CK16" s="208">
        <f t="shared" ref="CK16:CK20" si="65">BV16+CA16+CF16</f>
        <v>18108.401000000002</v>
      </c>
      <c r="CL16" s="223">
        <f t="shared" si="46"/>
        <v>5.0100004122341133</v>
      </c>
      <c r="CM16" s="225"/>
      <c r="CN16" s="227">
        <f>CJ16/CJ12*100</f>
        <v>12.454706568028325</v>
      </c>
      <c r="CO16" s="228">
        <f t="shared" si="25"/>
        <v>8867.2790000000005</v>
      </c>
      <c r="CP16" s="223">
        <f t="shared" si="26"/>
        <v>44425.07</v>
      </c>
      <c r="CQ16" s="223">
        <f t="shared" si="27"/>
        <v>5.0100002492309077</v>
      </c>
      <c r="CR16" s="225"/>
      <c r="CS16" s="225">
        <f>CO16/CO12*100</f>
        <v>20.032882986815874</v>
      </c>
      <c r="CT16" s="222">
        <f t="shared" si="52"/>
        <v>16200.692999999999</v>
      </c>
      <c r="CU16" s="208">
        <f t="shared" si="52"/>
        <v>79918.796000000002</v>
      </c>
      <c r="CV16" s="223">
        <f t="shared" si="29"/>
        <v>4.9330479875151028</v>
      </c>
      <c r="CW16" s="225"/>
      <c r="CX16" s="211">
        <f>CT16/CT12*100</f>
        <v>26.456693877790975</v>
      </c>
      <c r="CY16" s="181"/>
    </row>
    <row r="17" spans="1:103" ht="34.5" customHeight="1" thickBot="1">
      <c r="B17" s="180" t="s">
        <v>82</v>
      </c>
      <c r="C17" s="305" t="s">
        <v>5</v>
      </c>
      <c r="D17" s="306">
        <v>225.03299999999999</v>
      </c>
      <c r="E17" s="302">
        <v>234.76</v>
      </c>
      <c r="F17" s="307">
        <v>1136.25</v>
      </c>
      <c r="G17" s="209">
        <f t="shared" si="6"/>
        <v>4.8400494121656159</v>
      </c>
      <c r="H17" s="303" t="e">
        <f t="shared" ref="H17" si="66">G17/#REF!*100</f>
        <v>#REF!</v>
      </c>
      <c r="I17" s="304">
        <f>E17/E12*100</f>
        <v>19.295194447823413</v>
      </c>
      <c r="J17" s="211">
        <v>316.54000000000002</v>
      </c>
      <c r="K17" s="229">
        <v>1532.0540000000001</v>
      </c>
      <c r="L17" s="230">
        <f t="shared" si="8"/>
        <v>4.8400012636633605</v>
      </c>
      <c r="M17" s="324">
        <f t="shared" si="42"/>
        <v>99.999005206390365</v>
      </c>
      <c r="N17" s="231">
        <f>J17/J12*100</f>
        <v>11.829419280675339</v>
      </c>
      <c r="O17" s="208">
        <v>280.57400000000001</v>
      </c>
      <c r="P17" s="225">
        <v>1357.9780000000001</v>
      </c>
      <c r="Q17" s="232">
        <f>P17/O17</f>
        <v>4.8399994297404607</v>
      </c>
      <c r="R17" s="225">
        <f t="shared" si="43"/>
        <v>99.999962109040879</v>
      </c>
      <c r="S17" s="211">
        <f>O17/O12*100</f>
        <v>15.602552916518606</v>
      </c>
      <c r="T17" s="208">
        <v>213.44900000000001</v>
      </c>
      <c r="U17" s="225">
        <v>1033.0940000000001</v>
      </c>
      <c r="V17" s="223">
        <f t="shared" si="31"/>
        <v>4.8400039353662931</v>
      </c>
      <c r="W17" s="225">
        <f t="shared" si="9"/>
        <v>100.00009309145379</v>
      </c>
      <c r="X17" s="211">
        <f>T17/T12*100</f>
        <v>9.1623955838291238</v>
      </c>
      <c r="Y17" s="228">
        <f t="shared" si="10"/>
        <v>810.5630000000001</v>
      </c>
      <c r="Z17" s="223">
        <f t="shared" si="61"/>
        <v>3923.1260000000002</v>
      </c>
      <c r="AA17" s="223">
        <f t="shared" si="33"/>
        <v>4.840001332407228</v>
      </c>
      <c r="AB17" s="226">
        <f>Y17/Y12*100</f>
        <v>11.91347768906197</v>
      </c>
      <c r="AC17" s="208">
        <v>133.68799999999999</v>
      </c>
      <c r="AD17" s="225">
        <v>647.04999999999995</v>
      </c>
      <c r="AE17" s="223">
        <f t="shared" si="11"/>
        <v>4.8400005984082339</v>
      </c>
      <c r="AF17" s="223">
        <f t="shared" si="1"/>
        <v>99.999984834735699</v>
      </c>
      <c r="AG17" s="211">
        <f>AC17/AC12*100</f>
        <v>5.5799051957044643</v>
      </c>
      <c r="AH17" s="208">
        <v>93.403000000000006</v>
      </c>
      <c r="AI17" s="225">
        <v>452.07100000000003</v>
      </c>
      <c r="AJ17" s="223">
        <f t="shared" si="12"/>
        <v>4.8400051390212306</v>
      </c>
      <c r="AK17" s="223">
        <f t="shared" si="13"/>
        <v>100.00009381430652</v>
      </c>
      <c r="AL17" s="211">
        <f>AH17/AH12*100</f>
        <v>3.5947472192598369</v>
      </c>
      <c r="AM17" s="208">
        <v>119.908</v>
      </c>
      <c r="AN17" s="225">
        <v>580.35500000000002</v>
      </c>
      <c r="AO17" s="223">
        <f t="shared" si="14"/>
        <v>4.8400023351235948</v>
      </c>
      <c r="AP17" s="223">
        <f t="shared" si="15"/>
        <v>99.999942068292185</v>
      </c>
      <c r="AQ17" s="211">
        <f>AM17/AM12*100</f>
        <v>3.5844921122519873</v>
      </c>
      <c r="AR17" s="228">
        <f t="shared" si="50"/>
        <v>346.99900000000002</v>
      </c>
      <c r="AS17" s="223">
        <f t="shared" si="51"/>
        <v>1679.4759999999999</v>
      </c>
      <c r="AT17" s="223">
        <f t="shared" si="16"/>
        <v>4.8400024207562549</v>
      </c>
      <c r="AU17" s="227">
        <f>AR17/AR12*100</f>
        <v>4.1609638115018015</v>
      </c>
      <c r="AV17" s="228">
        <f t="shared" si="3"/>
        <v>1157.5620000000001</v>
      </c>
      <c r="AW17" s="223">
        <f t="shared" si="17"/>
        <v>5602.6019999999999</v>
      </c>
      <c r="AX17" s="223">
        <f t="shared" si="18"/>
        <v>4.8400016586584558</v>
      </c>
      <c r="AY17" s="225"/>
      <c r="AZ17" s="211">
        <f>AV17/AV12*100</f>
        <v>7.6441355814098779</v>
      </c>
      <c r="BA17" s="222">
        <v>138.83099999999999</v>
      </c>
      <c r="BB17" s="225">
        <v>695.54300000000001</v>
      </c>
      <c r="BC17" s="223">
        <f t="shared" si="19"/>
        <v>5.009997767069315</v>
      </c>
      <c r="BD17" s="224">
        <f t="shared" si="4"/>
        <v>103.51230061837107</v>
      </c>
      <c r="BE17" s="211">
        <f>BA17/BA12*100</f>
        <v>3.9338278422218558</v>
      </c>
      <c r="BF17" s="208">
        <v>112.155</v>
      </c>
      <c r="BG17" s="225">
        <v>561.89700000000005</v>
      </c>
      <c r="BH17" s="223">
        <f t="shared" si="34"/>
        <v>5.0100040123044005</v>
      </c>
      <c r="BI17" s="224">
        <f t="shared" si="35"/>
        <v>100.00012465544647</v>
      </c>
      <c r="BJ17" s="264">
        <f>BF17/BF12*100</f>
        <v>3.7211655703846249</v>
      </c>
      <c r="BK17" s="208">
        <v>38.610999999999997</v>
      </c>
      <c r="BL17" s="225">
        <v>193.44200000000001</v>
      </c>
      <c r="BM17" s="223">
        <f t="shared" si="36"/>
        <v>5.010023050426045</v>
      </c>
      <c r="BN17" s="224">
        <f t="shared" si="37"/>
        <v>100.00038000212371</v>
      </c>
      <c r="BO17" s="211">
        <f>BK17/BK12*100</f>
        <v>0.44381877949663218</v>
      </c>
      <c r="BP17" s="208">
        <f t="shared" si="62"/>
        <v>289.59699999999998</v>
      </c>
      <c r="BQ17" s="208">
        <f t="shared" si="63"/>
        <v>1450.8820000000001</v>
      </c>
      <c r="BR17" s="223">
        <f t="shared" si="20"/>
        <v>5.0100035566666783</v>
      </c>
      <c r="BS17" s="225"/>
      <c r="BT17" s="211">
        <f>BP17/BP12*100</f>
        <v>1.8998868650262692</v>
      </c>
      <c r="BU17" s="208">
        <v>131.33199999999999</v>
      </c>
      <c r="BV17" s="225">
        <v>657.97400000000005</v>
      </c>
      <c r="BW17" s="223">
        <f t="shared" si="21"/>
        <v>5.0100051777175407</v>
      </c>
      <c r="BX17" s="224">
        <f t="shared" si="22"/>
        <v>99.99964326095261</v>
      </c>
      <c r="BY17" s="211">
        <f>BU17/BU12*100</f>
        <v>1.4560815118270864</v>
      </c>
      <c r="BZ17" s="208">
        <v>213.922</v>
      </c>
      <c r="CA17" s="225">
        <v>1071.75</v>
      </c>
      <c r="CB17" s="223">
        <f t="shared" si="23"/>
        <v>5.0100036461887978</v>
      </c>
      <c r="CC17" s="224">
        <f t="shared" si="45"/>
        <v>99.999969430595598</v>
      </c>
      <c r="CD17" s="211">
        <f>BZ17/BZ12*100</f>
        <v>2.0989742673969314</v>
      </c>
      <c r="CE17" s="208">
        <v>297.75400000000002</v>
      </c>
      <c r="CF17" s="225">
        <v>1491.748</v>
      </c>
      <c r="CG17" s="209">
        <f t="shared" si="24"/>
        <v>5.010001544899481</v>
      </c>
      <c r="CH17" s="210">
        <f t="shared" si="5"/>
        <v>103.5113718530783</v>
      </c>
      <c r="CI17" s="211">
        <f>CE17/CE12*100</f>
        <v>2.5585786334959026</v>
      </c>
      <c r="CJ17" s="208">
        <f t="shared" si="64"/>
        <v>643.00800000000004</v>
      </c>
      <c r="CK17" s="208">
        <f t="shared" si="65"/>
        <v>3221.4720000000002</v>
      </c>
      <c r="CL17" s="223">
        <f t="shared" si="46"/>
        <v>5.0100029859659596</v>
      </c>
      <c r="CM17" s="225"/>
      <c r="CN17" s="227">
        <f>CJ17/CJ12*100</f>
        <v>2.2156825368208772</v>
      </c>
      <c r="CO17" s="228">
        <f t="shared" si="25"/>
        <v>932.60500000000002</v>
      </c>
      <c r="CP17" s="223">
        <f t="shared" si="26"/>
        <v>4672.3540000000003</v>
      </c>
      <c r="CQ17" s="223">
        <f t="shared" si="27"/>
        <v>5.0100031631826978</v>
      </c>
      <c r="CR17" s="225"/>
      <c r="CS17" s="225">
        <f>CO17/CO12*100</f>
        <v>2.1069334615409554</v>
      </c>
      <c r="CT17" s="222">
        <f t="shared" si="52"/>
        <v>2090.1670000000004</v>
      </c>
      <c r="CU17" s="208">
        <f t="shared" si="52"/>
        <v>10274.956</v>
      </c>
      <c r="CV17" s="223">
        <f t="shared" si="29"/>
        <v>4.9158540920414486</v>
      </c>
      <c r="CW17" s="225"/>
      <c r="CX17" s="211">
        <f>CT17/CT12*100</f>
        <v>3.4133668524217295</v>
      </c>
      <c r="CY17" s="181"/>
    </row>
    <row r="18" spans="1:103" ht="63" customHeight="1" thickBot="1">
      <c r="B18" s="180" t="s">
        <v>83</v>
      </c>
      <c r="C18" s="305" t="s">
        <v>12</v>
      </c>
      <c r="D18" s="306">
        <v>374.70600000000002</v>
      </c>
      <c r="E18" s="302">
        <v>89.04</v>
      </c>
      <c r="F18" s="307">
        <v>430.96</v>
      </c>
      <c r="G18" s="209">
        <f t="shared" si="6"/>
        <v>4.8400718778077261</v>
      </c>
      <c r="H18" s="303" t="e">
        <f t="shared" ref="H18" si="67">G18/#REF!*100</f>
        <v>#REF!</v>
      </c>
      <c r="I18" s="304">
        <f>E18/E12*100</f>
        <v>7.318300023999817</v>
      </c>
      <c r="J18" s="211">
        <v>52.418999999999997</v>
      </c>
      <c r="K18" s="229">
        <v>253.708</v>
      </c>
      <c r="L18" s="230">
        <f t="shared" si="8"/>
        <v>4.8400007630820889</v>
      </c>
      <c r="M18" s="229">
        <f t="shared" si="42"/>
        <v>99.998530709306948</v>
      </c>
      <c r="N18" s="231">
        <f>J18/J12*100</f>
        <v>1.958950935975613</v>
      </c>
      <c r="O18" s="208">
        <v>66.975999999999999</v>
      </c>
      <c r="P18" s="225">
        <v>324.16399999999999</v>
      </c>
      <c r="Q18" s="232">
        <f t="shared" si="60"/>
        <v>4.8400023889154324</v>
      </c>
      <c r="R18" s="225">
        <f>(Q18/L18)*100</f>
        <v>100.00003359159271</v>
      </c>
      <c r="S18" s="211">
        <f>O18/O12*100</f>
        <v>3.7244954419752014</v>
      </c>
      <c r="T18" s="208">
        <v>63.847000000000001</v>
      </c>
      <c r="U18" s="225">
        <v>309.02</v>
      </c>
      <c r="V18" s="223">
        <f t="shared" si="31"/>
        <v>4.8400081444703744</v>
      </c>
      <c r="W18" s="225">
        <f t="shared" si="9"/>
        <v>100.00011891636574</v>
      </c>
      <c r="X18" s="211">
        <f>T18/T12*100</f>
        <v>2.7406615671225354</v>
      </c>
      <c r="Y18" s="228">
        <f t="shared" si="10"/>
        <v>183.24200000000002</v>
      </c>
      <c r="Z18" s="223">
        <f t="shared" si="61"/>
        <v>886.89199999999994</v>
      </c>
      <c r="AA18" s="223">
        <f t="shared" si="33"/>
        <v>4.8400039292301971</v>
      </c>
      <c r="AB18" s="226">
        <f>Y18/Y12*100</f>
        <v>2.6932508376265556</v>
      </c>
      <c r="AC18" s="208">
        <v>63.540999999999997</v>
      </c>
      <c r="AD18" s="225">
        <v>307.53899999999999</v>
      </c>
      <c r="AE18" s="223">
        <f t="shared" si="11"/>
        <v>4.8400088132072208</v>
      </c>
      <c r="AF18" s="223">
        <f t="shared" si="1"/>
        <v>100.00010090853426</v>
      </c>
      <c r="AG18" s="211">
        <f>AC18/AC12*100</f>
        <v>2.6520911079547709</v>
      </c>
      <c r="AH18" s="208">
        <v>84.460999999999999</v>
      </c>
      <c r="AI18" s="225">
        <v>408.79199999999997</v>
      </c>
      <c r="AJ18" s="223">
        <f t="shared" si="12"/>
        <v>4.8400089982358718</v>
      </c>
      <c r="AK18" s="223">
        <f t="shared" si="13"/>
        <v>100.00000382289905</v>
      </c>
      <c r="AL18" s="211">
        <f>AH18/AH12*100</f>
        <v>3.2506016389827428</v>
      </c>
      <c r="AM18" s="208">
        <v>73.298000000000002</v>
      </c>
      <c r="AN18" s="225">
        <v>354.76299999999998</v>
      </c>
      <c r="AO18" s="223">
        <f t="shared" si="14"/>
        <v>4.8400092771971943</v>
      </c>
      <c r="AP18" s="223">
        <f t="shared" si="15"/>
        <v>100.00000576365298</v>
      </c>
      <c r="AQ18" s="211">
        <f>AM18/AM12*100</f>
        <v>2.191147403374639</v>
      </c>
      <c r="AR18" s="228">
        <f t="shared" si="50"/>
        <v>221.3</v>
      </c>
      <c r="AS18" s="223">
        <f t="shared" si="51"/>
        <v>1071.0940000000001</v>
      </c>
      <c r="AT18" s="223">
        <f t="shared" si="16"/>
        <v>4.8400090375056486</v>
      </c>
      <c r="AU18" s="227">
        <f>AR18/AR12*100</f>
        <v>2.6536713116906636</v>
      </c>
      <c r="AV18" s="228">
        <f t="shared" si="3"/>
        <v>404.54200000000003</v>
      </c>
      <c r="AW18" s="223">
        <f t="shared" si="17"/>
        <v>1957.9859999999999</v>
      </c>
      <c r="AX18" s="223">
        <f t="shared" si="18"/>
        <v>4.8400067236529205</v>
      </c>
      <c r="AY18" s="225"/>
      <c r="AZ18" s="211">
        <f>AV18/AV12*100</f>
        <v>2.6714542256697396</v>
      </c>
      <c r="BA18" s="222">
        <v>72.864999999999995</v>
      </c>
      <c r="BB18" s="225">
        <v>365.05399999999997</v>
      </c>
      <c r="BC18" s="223">
        <f>BB18/BA18</f>
        <v>5.0100048034035547</v>
      </c>
      <c r="BD18" s="224">
        <f t="shared" si="4"/>
        <v>103.51229752817339</v>
      </c>
      <c r="BE18" s="211">
        <f>BA18/BA12*100</f>
        <v>2.0646567821559705</v>
      </c>
      <c r="BF18" s="208">
        <v>68.989999999999995</v>
      </c>
      <c r="BG18" s="225">
        <v>345.64</v>
      </c>
      <c r="BH18" s="223">
        <f t="shared" si="34"/>
        <v>5.0100014494854328</v>
      </c>
      <c r="BI18" s="224">
        <f t="shared" si="35"/>
        <v>99.999933055590702</v>
      </c>
      <c r="BJ18" s="264">
        <f>BF18/BF12*100</f>
        <v>2.2890037243175541</v>
      </c>
      <c r="BK18" s="208">
        <v>64.593999999999994</v>
      </c>
      <c r="BL18" s="225">
        <v>323.61599999999999</v>
      </c>
      <c r="BM18" s="223">
        <f t="shared" si="36"/>
        <v>5.0100009288788439</v>
      </c>
      <c r="BN18" s="224">
        <f t="shared" si="37"/>
        <v>99.999989608653934</v>
      </c>
      <c r="BO18" s="211">
        <f>BK18/BK12*100</f>
        <v>0.74248349544962466</v>
      </c>
      <c r="BP18" s="208">
        <f t="shared" si="62"/>
        <v>206.44899999999998</v>
      </c>
      <c r="BQ18" s="208">
        <f t="shared" si="63"/>
        <v>1034.31</v>
      </c>
      <c r="BR18" s="223">
        <f t="shared" si="20"/>
        <v>5.0100024703437658</v>
      </c>
      <c r="BS18" s="225"/>
      <c r="BT18" s="211">
        <f>BP18/BP12*100</f>
        <v>1.3543985034299675</v>
      </c>
      <c r="BU18" s="208">
        <v>62.46</v>
      </c>
      <c r="BV18" s="225">
        <v>312.92500000000001</v>
      </c>
      <c r="BW18" s="223">
        <f t="shared" si="21"/>
        <v>5.0100064040986236</v>
      </c>
      <c r="BX18" s="224">
        <f t="shared" si="22"/>
        <v>100.00010928580369</v>
      </c>
      <c r="BY18" s="211">
        <f>BU18/BU12*100</f>
        <v>0.69249574535314951</v>
      </c>
      <c r="BZ18" s="208">
        <v>63.94</v>
      </c>
      <c r="CA18" s="225">
        <v>320.33999999999997</v>
      </c>
      <c r="CB18" s="223">
        <f t="shared" si="23"/>
        <v>5.0100093837973096</v>
      </c>
      <c r="CC18" s="224">
        <f t="shared" si="45"/>
        <v>100.00005947494766</v>
      </c>
      <c r="CD18" s="211">
        <f>BZ18/BZ12*100</f>
        <v>0.62737079242602345</v>
      </c>
      <c r="CE18" s="208">
        <v>58.302999999999997</v>
      </c>
      <c r="CF18" s="225">
        <v>292.09899999999999</v>
      </c>
      <c r="CG18" s="209">
        <f t="shared" si="24"/>
        <v>5.0100166372227841</v>
      </c>
      <c r="CH18" s="210">
        <f t="shared" si="5"/>
        <v>103.51120321568517</v>
      </c>
      <c r="CI18" s="211">
        <f>CE18/CE12*100</f>
        <v>0.50099347135122152</v>
      </c>
      <c r="CJ18" s="208">
        <f t="shared" si="64"/>
        <v>184.703</v>
      </c>
      <c r="CK18" s="208">
        <f t="shared" si="65"/>
        <v>925.36400000000003</v>
      </c>
      <c r="CL18" s="223">
        <f t="shared" si="46"/>
        <v>5.010010665771536</v>
      </c>
      <c r="CM18" s="225"/>
      <c r="CN18" s="227">
        <f>CJ18/CJ12*100</f>
        <v>0.63645119749431811</v>
      </c>
      <c r="CO18" s="228">
        <f t="shared" si="25"/>
        <v>391.15199999999999</v>
      </c>
      <c r="CP18" s="223">
        <f t="shared" si="26"/>
        <v>1959.674</v>
      </c>
      <c r="CQ18" s="223">
        <f t="shared" si="27"/>
        <v>5.0100063402462469</v>
      </c>
      <c r="CR18" s="225"/>
      <c r="CS18" s="225">
        <f>CO18/CO12*100</f>
        <v>0.88368734603467458</v>
      </c>
      <c r="CT18" s="222">
        <f t="shared" si="52"/>
        <v>795.69399999999996</v>
      </c>
      <c r="CU18" s="208">
        <f t="shared" si="52"/>
        <v>3917.66</v>
      </c>
      <c r="CV18" s="223">
        <f t="shared" si="29"/>
        <v>4.9235761486199472</v>
      </c>
      <c r="CW18" s="225"/>
      <c r="CX18" s="211">
        <f>CT18/CT12*100</f>
        <v>1.29941556070441</v>
      </c>
      <c r="CY18" s="181"/>
    </row>
    <row r="19" spans="1:103" ht="66" customHeight="1" thickBot="1">
      <c r="B19" s="180" t="s">
        <v>84</v>
      </c>
      <c r="C19" s="305" t="s">
        <v>6</v>
      </c>
      <c r="D19" s="306">
        <v>439.62900000000002</v>
      </c>
      <c r="E19" s="302">
        <v>410.11</v>
      </c>
      <c r="F19" s="307">
        <v>1984.92</v>
      </c>
      <c r="G19" s="209">
        <f t="shared" si="6"/>
        <v>4.8399697642096022</v>
      </c>
      <c r="H19" s="303" t="e">
        <f t="shared" ref="H19" si="68">G19/#REF!*100</f>
        <v>#REF!</v>
      </c>
      <c r="I19" s="304">
        <f>E19/E12*100</f>
        <v>33.707412655464566</v>
      </c>
      <c r="J19" s="211">
        <v>476.113</v>
      </c>
      <c r="K19" s="229">
        <v>2304.3870000000002</v>
      </c>
      <c r="L19" s="230">
        <f t="shared" si="8"/>
        <v>4.8400001680273386</v>
      </c>
      <c r="M19" s="229">
        <f>L19/G19*100</f>
        <v>100.00062818197671</v>
      </c>
      <c r="N19" s="231">
        <f>J19/J12*100</f>
        <v>17.792823346117956</v>
      </c>
      <c r="O19" s="208">
        <v>302.25799999999998</v>
      </c>
      <c r="P19" s="225">
        <v>1462.9290000000001</v>
      </c>
      <c r="Q19" s="232">
        <f t="shared" si="60"/>
        <v>4.8400009263609238</v>
      </c>
      <c r="R19" s="225">
        <f t="shared" si="43"/>
        <v>100.00001566804875</v>
      </c>
      <c r="S19" s="211">
        <f>O19/O12*100</f>
        <v>16.808387232748153</v>
      </c>
      <c r="T19" s="208">
        <v>398.67200000000003</v>
      </c>
      <c r="U19" s="225">
        <v>1929.5730000000001</v>
      </c>
      <c r="V19" s="223">
        <f t="shared" si="31"/>
        <v>4.8400013043303769</v>
      </c>
      <c r="W19" s="225">
        <f t="shared" si="9"/>
        <v>100.00000780928472</v>
      </c>
      <c r="X19" s="211">
        <f>T19/T12*100</f>
        <v>17.113177256376577</v>
      </c>
      <c r="Y19" s="228">
        <f t="shared" si="10"/>
        <v>1177.0430000000001</v>
      </c>
      <c r="Z19" s="223">
        <f t="shared" si="61"/>
        <v>5696.889000000001</v>
      </c>
      <c r="AA19" s="223">
        <f t="shared" si="33"/>
        <v>4.8400007476362381</v>
      </c>
      <c r="AB19" s="226">
        <f>Y19/Y12*100</f>
        <v>17.299920573189954</v>
      </c>
      <c r="AC19" s="208">
        <v>148.089</v>
      </c>
      <c r="AD19" s="225">
        <v>716.75099999999998</v>
      </c>
      <c r="AE19" s="223">
        <f t="shared" si="11"/>
        <v>4.8400016206470431</v>
      </c>
      <c r="AF19" s="223">
        <f t="shared" si="1"/>
        <v>100.00001803741054</v>
      </c>
      <c r="AG19" s="211">
        <f>AC19/AC12*100</f>
        <v>6.1809779525961828</v>
      </c>
      <c r="AH19" s="208">
        <v>263.20400000000001</v>
      </c>
      <c r="AI19" s="225">
        <v>1273.9079999999999</v>
      </c>
      <c r="AJ19" s="223">
        <f t="shared" si="12"/>
        <v>4.8400024315739874</v>
      </c>
      <c r="AK19" s="223">
        <f t="shared" si="13"/>
        <v>100.00001675468333</v>
      </c>
      <c r="AL19" s="211">
        <f>AH19/AH12*100</f>
        <v>10.12978006164755</v>
      </c>
      <c r="AM19" s="208">
        <v>315.37900000000002</v>
      </c>
      <c r="AN19" s="225">
        <v>1526.4349999999999</v>
      </c>
      <c r="AO19" s="223">
        <f t="shared" si="14"/>
        <v>4.8400020293044239</v>
      </c>
      <c r="AP19" s="223">
        <f t="shared" si="15"/>
        <v>99.999991688649558</v>
      </c>
      <c r="AQ19" s="211">
        <f>AM19/AM12*100</f>
        <v>9.4278408268832745</v>
      </c>
      <c r="AR19" s="228">
        <f t="shared" si="50"/>
        <v>726.67200000000003</v>
      </c>
      <c r="AS19" s="223">
        <f t="shared" si="51"/>
        <v>3517.0940000000001</v>
      </c>
      <c r="AT19" s="223">
        <f t="shared" si="16"/>
        <v>4.8400020917277669</v>
      </c>
      <c r="AU19" s="227">
        <f>AR19/AR12*100</f>
        <v>8.7137308604106547</v>
      </c>
      <c r="AV19" s="228">
        <f t="shared" si="3"/>
        <v>1903.7150000000001</v>
      </c>
      <c r="AW19" s="223">
        <f t="shared" si="17"/>
        <v>9213.9830000000002</v>
      </c>
      <c r="AX19" s="223">
        <f t="shared" si="18"/>
        <v>4.8400012606929081</v>
      </c>
      <c r="AY19" s="225"/>
      <c r="AZ19" s="211">
        <f>AV19/AV12*100</f>
        <v>12.571469665006028</v>
      </c>
      <c r="BA19" s="222">
        <v>242.494</v>
      </c>
      <c r="BB19" s="225">
        <v>1214.895</v>
      </c>
      <c r="BC19" s="223">
        <f>BB19/BA19</f>
        <v>5.0100002474288026</v>
      </c>
      <c r="BD19" s="224">
        <f t="shared" si="4"/>
        <v>103.51235840594906</v>
      </c>
      <c r="BE19" s="211">
        <f>BA19/BA12*100</f>
        <v>6.8711573695482047</v>
      </c>
      <c r="BF19" s="208">
        <v>172.39599999999999</v>
      </c>
      <c r="BG19" s="225">
        <v>863.70399999999995</v>
      </c>
      <c r="BH19" s="223">
        <f>BG19/BF19</f>
        <v>5.0100002320239447</v>
      </c>
      <c r="BI19" s="224">
        <f t="shared" si="35"/>
        <v>99.999999692517832</v>
      </c>
      <c r="BJ19" s="264">
        <f>BF19/BF12*100</f>
        <v>5.7198881875264389</v>
      </c>
      <c r="BK19" s="208">
        <v>214.41399999999999</v>
      </c>
      <c r="BL19" s="225">
        <v>1074.2149999999999</v>
      </c>
      <c r="BM19" s="223">
        <f t="shared" si="36"/>
        <v>5.0100040109321222</v>
      </c>
      <c r="BN19" s="224">
        <f t="shared" si="37"/>
        <v>100.00007542730545</v>
      </c>
      <c r="BO19" s="211">
        <f>BK19/BK12*100</f>
        <v>2.4646074897565691</v>
      </c>
      <c r="BP19" s="208">
        <f>BA19+BF19+BK19</f>
        <v>629.30399999999997</v>
      </c>
      <c r="BQ19" s="208">
        <f t="shared" si="63"/>
        <v>3152.8140000000003</v>
      </c>
      <c r="BR19" s="223">
        <f t="shared" si="20"/>
        <v>5.0100015254948334</v>
      </c>
      <c r="BS19" s="225"/>
      <c r="BT19" s="211">
        <f>BP19/BP12*100</f>
        <v>4.1285179187232304</v>
      </c>
      <c r="BU19" s="208">
        <v>215.67</v>
      </c>
      <c r="BV19" s="225">
        <v>1080.5070000000001</v>
      </c>
      <c r="BW19" s="223">
        <f t="shared" si="21"/>
        <v>5.0100013910140495</v>
      </c>
      <c r="BX19" s="224">
        <f t="shared" si="22"/>
        <v>99.99994770626796</v>
      </c>
      <c r="BY19" s="211">
        <f>BU19/BU12*100</f>
        <v>2.391139247523435</v>
      </c>
      <c r="BZ19" s="208">
        <v>378.17899999999997</v>
      </c>
      <c r="CA19" s="225">
        <v>1894.6769999999999</v>
      </c>
      <c r="CB19" s="223">
        <f t="shared" si="23"/>
        <v>5.0100005552925992</v>
      </c>
      <c r="CC19" s="224">
        <f t="shared" si="45"/>
        <v>99.999983318937751</v>
      </c>
      <c r="CD19" s="211">
        <f>BZ19/BZ12*100</f>
        <v>3.7106421474645148</v>
      </c>
      <c r="CE19" s="208">
        <v>446.45499999999998</v>
      </c>
      <c r="CF19" s="225">
        <v>2236.7399999999998</v>
      </c>
      <c r="CG19" s="209">
        <f t="shared" si="24"/>
        <v>5.0100010079403292</v>
      </c>
      <c r="CH19" s="210">
        <f t="shared" si="5"/>
        <v>103.51306417217864</v>
      </c>
      <c r="CI19" s="211">
        <f>CE19/CE12*100</f>
        <v>3.8363555949455361</v>
      </c>
      <c r="CJ19" s="208">
        <f t="shared" si="64"/>
        <v>1040.3039999999999</v>
      </c>
      <c r="CK19" s="208">
        <f t="shared" si="65"/>
        <v>5211.924</v>
      </c>
      <c r="CL19" s="223">
        <f t="shared" si="46"/>
        <v>5.0100009228071798</v>
      </c>
      <c r="CM19" s="225"/>
      <c r="CN19" s="227">
        <f>CJ19/CJ12*100</f>
        <v>3.5846885354224298</v>
      </c>
      <c r="CO19" s="228">
        <f t="shared" si="25"/>
        <v>1669.6079999999997</v>
      </c>
      <c r="CP19" s="223">
        <f t="shared" si="26"/>
        <v>8364.7380000000012</v>
      </c>
      <c r="CQ19" s="223">
        <f t="shared" si="27"/>
        <v>5.0100011499705337</v>
      </c>
      <c r="CR19" s="225"/>
      <c r="CS19" s="225">
        <f>CO19/CO12*100</f>
        <v>3.7719645110807583</v>
      </c>
      <c r="CT19" s="222">
        <f t="shared" si="52"/>
        <v>3573.3230000000003</v>
      </c>
      <c r="CU19" s="208">
        <f t="shared" si="52"/>
        <v>17578.721000000001</v>
      </c>
      <c r="CV19" s="223">
        <f t="shared" si="29"/>
        <v>4.9194324162691139</v>
      </c>
      <c r="CW19" s="225"/>
      <c r="CX19" s="211">
        <f>CT19/CT12*100</f>
        <v>5.835448689600482</v>
      </c>
      <c r="CY19" s="181"/>
    </row>
    <row r="20" spans="1:103" ht="132" customHeight="1" thickBot="1">
      <c r="B20" s="245"/>
      <c r="C20" s="308" t="s">
        <v>122</v>
      </c>
      <c r="D20" s="309"/>
      <c r="E20" s="310"/>
      <c r="F20" s="311"/>
      <c r="G20" s="280"/>
      <c r="H20" s="312"/>
      <c r="I20" s="313"/>
      <c r="J20" s="248">
        <v>646.84799999999996</v>
      </c>
      <c r="K20" s="249">
        <v>3041.6186200000002</v>
      </c>
      <c r="L20" s="347">
        <f t="shared" si="8"/>
        <v>4.7022153890867724</v>
      </c>
      <c r="M20" s="229" t="e">
        <f>L20/G20*100</f>
        <v>#DIV/0!</v>
      </c>
      <c r="N20" s="282">
        <f>J20/J12*100</f>
        <v>24.17336261725621</v>
      </c>
      <c r="O20" s="246">
        <v>601.04600000000005</v>
      </c>
      <c r="P20" s="250">
        <v>2813.3321900000001</v>
      </c>
      <c r="Q20" s="349">
        <f t="shared" si="60"/>
        <v>4.6807269160763063</v>
      </c>
      <c r="R20" s="250">
        <f t="shared" si="43"/>
        <v>99.543013851293622</v>
      </c>
      <c r="S20" s="248">
        <f>O20/O12*100</f>
        <v>33.423809833633349</v>
      </c>
      <c r="T20" s="246">
        <v>567.35599999999999</v>
      </c>
      <c r="U20" s="250">
        <v>2674.7109</v>
      </c>
      <c r="V20" s="351">
        <f t="shared" si="31"/>
        <v>4.7143431989791242</v>
      </c>
      <c r="W20" s="250">
        <f t="shared" si="9"/>
        <v>100.71818509187879</v>
      </c>
      <c r="X20" s="248">
        <f>T20/T12*100</f>
        <v>24.354014817867291</v>
      </c>
      <c r="Y20" s="252">
        <f t="shared" si="10"/>
        <v>1815.25</v>
      </c>
      <c r="Z20" s="251">
        <f t="shared" si="61"/>
        <v>8529.6617100000003</v>
      </c>
      <c r="AA20" s="351">
        <f t="shared" si="33"/>
        <v>4.6988909020796035</v>
      </c>
      <c r="AB20" s="253">
        <f>Y20/Y12*100</f>
        <v>26.680147471658266</v>
      </c>
      <c r="AC20" s="246">
        <v>478.55700000000002</v>
      </c>
      <c r="AD20" s="250">
        <v>2242.6820400000001</v>
      </c>
      <c r="AE20" s="351">
        <f t="shared" si="11"/>
        <v>4.6863425673430754</v>
      </c>
      <c r="AF20" s="251">
        <f t="shared" si="1"/>
        <v>99.7329511368103</v>
      </c>
      <c r="AG20" s="248">
        <f>AC20/AC12*100</f>
        <v>19.974138970892987</v>
      </c>
      <c r="AH20" s="252">
        <v>552.779</v>
      </c>
      <c r="AI20" s="251">
        <v>2615.5291200000001</v>
      </c>
      <c r="AJ20" s="351">
        <f t="shared" si="12"/>
        <v>4.731600006512549</v>
      </c>
      <c r="AK20" s="251">
        <f t="shared" si="13"/>
        <v>100.96573049279094</v>
      </c>
      <c r="AL20" s="248">
        <f>AH20/AH12*100</f>
        <v>21.274485542383363</v>
      </c>
      <c r="AM20" s="252">
        <v>697.12199999999996</v>
      </c>
      <c r="AN20" s="251">
        <v>3309.1684799999998</v>
      </c>
      <c r="AO20" s="351">
        <f t="shared" si="14"/>
        <v>4.7469000834861044</v>
      </c>
      <c r="AP20" s="251">
        <f t="shared" si="15"/>
        <v>100.32335947570581</v>
      </c>
      <c r="AQ20" s="248">
        <f>AM20/AM12*100</f>
        <v>20.839546237760032</v>
      </c>
      <c r="AR20" s="252">
        <f t="shared" si="50"/>
        <v>1728.4579999999999</v>
      </c>
      <c r="AS20" s="251">
        <f t="shared" si="51"/>
        <v>8167.3796399999992</v>
      </c>
      <c r="AT20" s="251">
        <f t="shared" si="16"/>
        <v>4.7252404397445584</v>
      </c>
      <c r="AU20" s="254">
        <f>AR20/AR12*100</f>
        <v>20.726432029201174</v>
      </c>
      <c r="AV20" s="252">
        <f t="shared" si="3"/>
        <v>3543.7079999999996</v>
      </c>
      <c r="AW20" s="251">
        <f t="shared" si="17"/>
        <v>16697.04135</v>
      </c>
      <c r="AX20" s="251">
        <f t="shared" si="18"/>
        <v>4.71174299631911</v>
      </c>
      <c r="AY20" s="250"/>
      <c r="AZ20" s="248">
        <f>AV20/AV12*100</f>
        <v>23.401411253070531</v>
      </c>
      <c r="BA20" s="321">
        <v>703.92600000000004</v>
      </c>
      <c r="BB20" s="321">
        <v>3390.6342799999998</v>
      </c>
      <c r="BC20" s="351">
        <f>BB20/BA20</f>
        <v>4.8167481809167434</v>
      </c>
      <c r="BD20" s="283">
        <f t="shared" si="4"/>
        <v>101.47144654831965</v>
      </c>
      <c r="BE20" s="248">
        <f>BA20/BA12*100</f>
        <v>19.946004117696063</v>
      </c>
      <c r="BF20" s="252">
        <v>800.08900000000006</v>
      </c>
      <c r="BG20" s="251">
        <v>3940.8289</v>
      </c>
      <c r="BH20" s="351">
        <f>BG20/BF20</f>
        <v>4.9254881644417052</v>
      </c>
      <c r="BI20" s="283">
        <f>BH20/BC20*100</f>
        <v>102.25753930744759</v>
      </c>
      <c r="BJ20" s="284">
        <f>BF20/BF12*100</f>
        <v>26.545973340853855</v>
      </c>
      <c r="BK20" s="246">
        <v>521.48299999999995</v>
      </c>
      <c r="BL20" s="365">
        <v>2555.9540000000002</v>
      </c>
      <c r="BM20" s="366">
        <f t="shared" si="36"/>
        <v>4.9013179720144286</v>
      </c>
      <c r="BN20" s="283">
        <f t="shared" si="37"/>
        <v>99.509283311210311</v>
      </c>
      <c r="BO20" s="248">
        <f>BK20/BK13*100</f>
        <v>8.000050931994128</v>
      </c>
      <c r="BP20" s="246">
        <f t="shared" si="62"/>
        <v>2025.498</v>
      </c>
      <c r="BQ20" s="246">
        <f t="shared" si="63"/>
        <v>9887.4171800000004</v>
      </c>
      <c r="BR20" s="251">
        <f t="shared" si="20"/>
        <v>4.8814746694393181</v>
      </c>
      <c r="BS20" s="250"/>
      <c r="BT20" s="248">
        <f>BP20/BP12*100</f>
        <v>13.288179937419859</v>
      </c>
      <c r="BU20" s="246">
        <v>581.94899999999996</v>
      </c>
      <c r="BV20" s="247">
        <v>2843.7460000000001</v>
      </c>
      <c r="BW20" s="251">
        <f t="shared" si="21"/>
        <v>4.8865897183430169</v>
      </c>
      <c r="BX20" s="283">
        <f t="shared" si="22"/>
        <v>99.699504219977015</v>
      </c>
      <c r="BY20" s="248">
        <f>BU20/BU12*100</f>
        <v>6.4520846383688752</v>
      </c>
      <c r="BZ20" s="246">
        <v>557.577</v>
      </c>
      <c r="CA20" s="247">
        <v>2726.7440000000001</v>
      </c>
      <c r="CB20" s="251">
        <f t="shared" si="23"/>
        <v>4.8903451899916961</v>
      </c>
      <c r="CC20" s="283">
        <f t="shared" si="45"/>
        <v>100.0768526081611</v>
      </c>
      <c r="CD20" s="248">
        <f>BZ20/BZ12*100</f>
        <v>5.4708715096735201</v>
      </c>
      <c r="CE20" s="246">
        <v>688.47699999999998</v>
      </c>
      <c r="CF20" s="247">
        <v>3365.1390000000001</v>
      </c>
      <c r="CG20" s="280">
        <f t="shared" si="24"/>
        <v>4.8878016259076196</v>
      </c>
      <c r="CH20" s="281" t="e">
        <f t="shared" si="5"/>
        <v>#DIV/0!</v>
      </c>
      <c r="CI20" s="248">
        <f>CE20/CE12*100</f>
        <v>5.9160331745446193</v>
      </c>
      <c r="CJ20" s="246">
        <f t="shared" si="64"/>
        <v>1828.0029999999997</v>
      </c>
      <c r="CK20" s="246">
        <f t="shared" si="65"/>
        <v>8935.6290000000008</v>
      </c>
      <c r="CL20" s="251">
        <f t="shared" si="46"/>
        <v>4.8881916495760684</v>
      </c>
      <c r="CM20" s="250"/>
      <c r="CN20" s="254"/>
      <c r="CO20" s="252">
        <f t="shared" si="25"/>
        <v>3853.5009999999997</v>
      </c>
      <c r="CP20" s="251">
        <f t="shared" si="26"/>
        <v>18823.046180000001</v>
      </c>
      <c r="CQ20" s="251">
        <f t="shared" si="27"/>
        <v>4.884661034212785</v>
      </c>
      <c r="CR20" s="250"/>
      <c r="CS20" s="250"/>
      <c r="CT20" s="247">
        <f t="shared" si="52"/>
        <v>7397.2089999999998</v>
      </c>
      <c r="CU20" s="246">
        <f t="shared" si="52"/>
        <v>35520.087530000004</v>
      </c>
      <c r="CV20" s="251">
        <f t="shared" si="29"/>
        <v>4.8018228942835064</v>
      </c>
      <c r="CW20" s="250"/>
      <c r="CX20" s="248">
        <f>CT20/CT12*100</f>
        <v>12.080081639905176</v>
      </c>
      <c r="CY20" s="181"/>
    </row>
    <row r="21" spans="1:103" s="181" customFormat="1" ht="39.75" customHeight="1" thickBot="1">
      <c r="A21" s="181" t="s">
        <v>106</v>
      </c>
      <c r="B21" s="279" t="s">
        <v>81</v>
      </c>
      <c r="C21" s="314" t="s">
        <v>87</v>
      </c>
      <c r="D21" s="315">
        <f>D7+D12</f>
        <v>79516.02</v>
      </c>
      <c r="E21" s="316">
        <f>E7+E12</f>
        <v>67923.313000000009</v>
      </c>
      <c r="F21" s="316">
        <f>F7+F12</f>
        <v>281648.837</v>
      </c>
      <c r="G21" s="273">
        <f t="shared" si="6"/>
        <v>4.1465709571616447</v>
      </c>
      <c r="H21" s="317" t="e">
        <f t="shared" ref="H21" si="69">G21/#REF!*100</f>
        <v>#REF!</v>
      </c>
      <c r="I21" s="316">
        <f>SUM(I13:I19)</f>
        <v>100</v>
      </c>
      <c r="J21" s="337">
        <f>J7+J12</f>
        <v>68695.822</v>
      </c>
      <c r="K21" s="285">
        <f>K7+K12</f>
        <v>283924.32662000001</v>
      </c>
      <c r="L21" s="286">
        <f>K21/J21</f>
        <v>4.1330654231053527</v>
      </c>
      <c r="M21" s="287">
        <f>L21/G21*100</f>
        <v>99.674296323496733</v>
      </c>
      <c r="N21" s="285">
        <f>SUM(N13:N19)</f>
        <v>81.526800058747227</v>
      </c>
      <c r="O21" s="337">
        <f>O7+O12</f>
        <v>80187.368000000002</v>
      </c>
      <c r="P21" s="288">
        <f>P7+P12</f>
        <v>325944.84519000002</v>
      </c>
      <c r="Q21" s="289">
        <f>P21/O21</f>
        <v>4.0647904192341118</v>
      </c>
      <c r="R21" s="288">
        <f t="shared" si="43"/>
        <v>98.348078317619695</v>
      </c>
      <c r="S21" s="288">
        <f>SUM(S8:S12)</f>
        <v>100</v>
      </c>
      <c r="T21" s="337">
        <f>T7+T12</f>
        <v>72156.044999999998</v>
      </c>
      <c r="U21" s="288">
        <f>SUM(U8:U12)</f>
        <v>298398.58289999998</v>
      </c>
      <c r="V21" s="275">
        <f t="shared" si="31"/>
        <v>4.1354620101475907</v>
      </c>
      <c r="W21" s="288">
        <f t="shared" si="9"/>
        <v>101.7386281609765</v>
      </c>
      <c r="X21" s="288">
        <f>SUM(X8:X12)</f>
        <v>100.00000000000001</v>
      </c>
      <c r="Y21" s="275">
        <f>(T21+O21+J21)</f>
        <v>221039.23499999999</v>
      </c>
      <c r="Z21" s="275">
        <f>Z7+Z12</f>
        <v>908267.75470999989</v>
      </c>
      <c r="AA21" s="275">
        <f t="shared" si="33"/>
        <v>4.1090793438097082</v>
      </c>
      <c r="AB21" s="275">
        <v>100</v>
      </c>
      <c r="AC21" s="362">
        <f>SUM(AC12+AC7)</f>
        <v>74705.005999999994</v>
      </c>
      <c r="AD21" s="288">
        <f>SUM(AD8:AD12)</f>
        <v>310809.21004000003</v>
      </c>
      <c r="AE21" s="275">
        <f t="shared" si="11"/>
        <v>4.1604870500913966</v>
      </c>
      <c r="AF21" s="275">
        <f t="shared" si="1"/>
        <v>101.25107601923369</v>
      </c>
      <c r="AG21" s="288">
        <f>SUM(AG8:AG12)</f>
        <v>100</v>
      </c>
      <c r="AH21" s="363">
        <f>SUM(AH12+AH7)</f>
        <v>67505.845000000001</v>
      </c>
      <c r="AI21" s="288">
        <f>SUM(AI12+AI7)</f>
        <v>286028.83911999996</v>
      </c>
      <c r="AJ21" s="275">
        <f t="shared" si="12"/>
        <v>4.2370973820118829</v>
      </c>
      <c r="AK21" s="275">
        <f t="shared" si="13"/>
        <v>101.84137892987322</v>
      </c>
      <c r="AL21" s="288">
        <f>SUM(AL8:AL12)</f>
        <v>99.999999999999986</v>
      </c>
      <c r="AM21" s="363">
        <f>SUM(AM7+AM12)</f>
        <v>84158.940999999992</v>
      </c>
      <c r="AN21" s="288">
        <f>SUM(AN7+AN12)</f>
        <v>354732.28948000004</v>
      </c>
      <c r="AO21" s="275">
        <f t="shared" si="14"/>
        <v>4.2150279609625798</v>
      </c>
      <c r="AP21" s="275">
        <f t="shared" si="15"/>
        <v>99.479138215161242</v>
      </c>
      <c r="AQ21" s="288">
        <f>SUM(AQ13:AQ19)+AQ20</f>
        <v>104.77040453331773</v>
      </c>
      <c r="AR21" s="275">
        <f t="shared" si="50"/>
        <v>226369.79199999999</v>
      </c>
      <c r="AS21" s="275">
        <f t="shared" si="51"/>
        <v>951570.33863999997</v>
      </c>
      <c r="AT21" s="275">
        <f t="shared" si="16"/>
        <v>4.2036100763833364</v>
      </c>
      <c r="AU21" s="288">
        <f>SUM(AU13:AU19)</f>
        <v>83.916521472194006</v>
      </c>
      <c r="AV21" s="275">
        <f>AR21+Y21</f>
        <v>447409.027</v>
      </c>
      <c r="AW21" s="275">
        <f t="shared" si="17"/>
        <v>1859838.0933499997</v>
      </c>
      <c r="AX21" s="275">
        <f t="shared" si="18"/>
        <v>4.1569078429658051</v>
      </c>
      <c r="AY21" s="288"/>
      <c r="AZ21" s="288">
        <f>SUM(AZ13:AZ19)+AZ20</f>
        <v>105.28422180396163</v>
      </c>
      <c r="BA21" s="363">
        <f>BA7+BA12</f>
        <v>102459.768</v>
      </c>
      <c r="BB21" s="288">
        <f>BB7+BB12</f>
        <v>457792.36128000001</v>
      </c>
      <c r="BC21" s="275">
        <f t="shared" si="19"/>
        <v>4.4680206701229306</v>
      </c>
      <c r="BD21" s="276">
        <f t="shared" si="4"/>
        <v>106.00215968917499</v>
      </c>
      <c r="BE21" s="288">
        <f>SUM(BE13:BE19)</f>
        <v>85.068761443947821</v>
      </c>
      <c r="BF21" s="363">
        <f>BF12+BF7</f>
        <v>88948.71100000001</v>
      </c>
      <c r="BG21" s="288">
        <f>BG7+BG12</f>
        <v>394783.45390000008</v>
      </c>
      <c r="BH21" s="275">
        <f t="shared" si="34"/>
        <v>4.438326867940785</v>
      </c>
      <c r="BI21" s="276">
        <f t="shared" si="35"/>
        <v>99.335414843071248</v>
      </c>
      <c r="BJ21" s="290">
        <f>SUM(BJ13:BJ19)</f>
        <v>78.221949418956697</v>
      </c>
      <c r="BK21" s="288">
        <f>BK7+BK12</f>
        <v>74590.527999999991</v>
      </c>
      <c r="BL21" s="288">
        <f>BL7+BL12</f>
        <v>330215.7</v>
      </c>
      <c r="BM21" s="275">
        <f t="shared" si="36"/>
        <v>4.4270460184971485</v>
      </c>
      <c r="BN21" s="276">
        <f t="shared" si="37"/>
        <v>99.745831035448944</v>
      </c>
      <c r="BO21" s="288">
        <f>SUM(BO13:BO19)</f>
        <v>201.2658735628772</v>
      </c>
      <c r="BP21" s="288">
        <f>BP7+BP12</f>
        <v>265999.00700000004</v>
      </c>
      <c r="BQ21" s="288">
        <f>BQ7+BQ12</f>
        <v>1182791.5151800001</v>
      </c>
      <c r="BR21" s="275">
        <f t="shared" si="20"/>
        <v>4.4466012430640385</v>
      </c>
      <c r="BS21" s="288"/>
      <c r="BT21" s="288">
        <f>SUM(BT13:BT19)</f>
        <v>86.711820062580145</v>
      </c>
      <c r="BU21" s="277">
        <f>BU7+BU12</f>
        <v>72352.566000000006</v>
      </c>
      <c r="BV21" s="277">
        <f>BV7+BV12</f>
        <v>318852.95799999998</v>
      </c>
      <c r="BW21" s="125">
        <f t="shared" si="21"/>
        <v>4.4069336531893004</v>
      </c>
      <c r="BX21" s="126">
        <f t="shared" si="22"/>
        <v>99.545693330861837</v>
      </c>
      <c r="BY21" s="277">
        <f>SUM(BY13:BY19)</f>
        <v>205.15158533905588</v>
      </c>
      <c r="BZ21" s="277">
        <f>BZ7+BZ12</f>
        <v>78194.138000000006</v>
      </c>
      <c r="CA21" s="277">
        <f>CA7+CA12</f>
        <v>342746.614</v>
      </c>
      <c r="CB21" s="125">
        <f t="shared" si="23"/>
        <v>4.3832776057969971</v>
      </c>
      <c r="CC21" s="126">
        <f t="shared" si="45"/>
        <v>99.463208451636589</v>
      </c>
      <c r="CD21" s="277">
        <f>SUM(CD13:CD19)</f>
        <v>202.9411517149405</v>
      </c>
      <c r="CE21" s="277">
        <f>CE7+CE12</f>
        <v>85985.788</v>
      </c>
      <c r="CF21" s="277">
        <f>CF7+CF12</f>
        <v>375478.89899999998</v>
      </c>
      <c r="CG21" s="273">
        <f t="shared" si="24"/>
        <v>4.3667553410105393</v>
      </c>
      <c r="CH21" s="274">
        <f t="shared" si="5"/>
        <v>105.31003535508319</v>
      </c>
      <c r="CI21" s="277">
        <f>SUM(CI13:CI19)</f>
        <v>214.51622432184143</v>
      </c>
      <c r="CJ21" s="277">
        <f>CJ7+CJ12</f>
        <v>234704.48899999997</v>
      </c>
      <c r="CK21" s="277">
        <f>CK7+CK12</f>
        <v>1028142.8420000002</v>
      </c>
      <c r="CL21" s="125">
        <f t="shared" si="46"/>
        <v>4.380584480427216</v>
      </c>
      <c r="CM21" s="277"/>
      <c r="CN21" s="277">
        <f>SUM(CN13:CN19)</f>
        <v>99.999999999999986</v>
      </c>
      <c r="CO21" s="125">
        <f t="shared" si="25"/>
        <v>500703.49600000004</v>
      </c>
      <c r="CP21" s="125">
        <f t="shared" si="26"/>
        <v>2210934.3571800003</v>
      </c>
      <c r="CQ21" s="125">
        <f t="shared" si="27"/>
        <v>4.4156559218032703</v>
      </c>
      <c r="CR21" s="277"/>
      <c r="CS21" s="277">
        <v>100</v>
      </c>
      <c r="CT21" s="277">
        <f>CT7+CT12</f>
        <v>949940.52600000007</v>
      </c>
      <c r="CU21" s="277">
        <f>CU7+CU12</f>
        <v>4079708.0795300002</v>
      </c>
      <c r="CV21" s="125">
        <f t="shared" si="29"/>
        <v>4.2946984236042587</v>
      </c>
      <c r="CW21" s="277"/>
      <c r="CX21" s="277">
        <f>SUM(CX13:CX20)</f>
        <v>99.999999999999986</v>
      </c>
    </row>
    <row r="22" spans="1:103" s="278" customFormat="1" ht="28.5" customHeight="1">
      <c r="C22" s="406" t="s">
        <v>113</v>
      </c>
      <c r="D22" s="406"/>
      <c r="E22" s="406"/>
      <c r="F22" s="406"/>
      <c r="G22" s="406"/>
      <c r="H22" s="406"/>
      <c r="I22" s="406"/>
      <c r="J22" s="291">
        <f>J21-J20</f>
        <v>68048.974000000002</v>
      </c>
      <c r="K22" s="291">
        <f>K21-K20</f>
        <v>280882.70799999998</v>
      </c>
      <c r="L22" s="291"/>
      <c r="M22" s="291"/>
      <c r="N22" s="291"/>
      <c r="O22" s="292">
        <f>O21-O20</f>
        <v>79586.322</v>
      </c>
      <c r="P22" s="292">
        <f>P21-P20</f>
        <v>323131.51300000004</v>
      </c>
      <c r="Q22" s="291"/>
      <c r="R22" s="291"/>
      <c r="S22" s="291"/>
      <c r="T22" s="292">
        <f>T21-T20</f>
        <v>71588.688999999998</v>
      </c>
      <c r="U22" s="292">
        <f>U21-U20</f>
        <v>295723.87199999997</v>
      </c>
      <c r="V22" s="291"/>
      <c r="W22" s="291"/>
      <c r="X22" s="291"/>
      <c r="Y22" s="292">
        <f>Y21-Y20</f>
        <v>219223.98499999999</v>
      </c>
      <c r="Z22" s="292">
        <f>Z21-Z20</f>
        <v>899738.09299999988</v>
      </c>
      <c r="AA22" s="291"/>
      <c r="AB22" s="291"/>
      <c r="AC22" s="292">
        <f>AC21-AC20</f>
        <v>74226.448999999993</v>
      </c>
      <c r="AD22" s="292">
        <f>AD21-AD20</f>
        <v>308566.52800000005</v>
      </c>
      <c r="AE22" s="291"/>
      <c r="AF22" s="291"/>
      <c r="AG22" s="291"/>
      <c r="AH22" s="292">
        <f>AH21-AH20</f>
        <v>66953.066000000006</v>
      </c>
      <c r="AI22" s="292">
        <f>AI21-AI20</f>
        <v>283413.30999999994</v>
      </c>
      <c r="AJ22" s="291"/>
      <c r="AK22" s="291"/>
      <c r="AL22" s="291"/>
      <c r="AM22" s="292">
        <f>AM21-AM20</f>
        <v>83461.818999999989</v>
      </c>
      <c r="AN22" s="292">
        <f>AN21-AN20</f>
        <v>351423.12100000004</v>
      </c>
      <c r="AO22" s="291"/>
      <c r="AP22" s="291"/>
      <c r="AQ22" s="291"/>
      <c r="AR22" s="292">
        <f>AR21-AR20</f>
        <v>224641.33399999997</v>
      </c>
      <c r="AS22" s="292">
        <f>AS21-AS20</f>
        <v>943402.95900000003</v>
      </c>
      <c r="AT22" s="291"/>
      <c r="AU22" s="291"/>
      <c r="AV22" s="292">
        <f>AV21-AV20</f>
        <v>443865.31900000002</v>
      </c>
      <c r="AW22" s="292">
        <f>AW21-AW20</f>
        <v>1843141.0519999997</v>
      </c>
      <c r="AX22" s="291"/>
      <c r="AY22" s="291"/>
      <c r="AZ22" s="291"/>
      <c r="BA22" s="292">
        <f>BA21-BA20</f>
        <v>101755.84199999999</v>
      </c>
      <c r="BB22" s="292">
        <f>BB21-BB20</f>
        <v>454401.72700000001</v>
      </c>
      <c r="BC22" s="291"/>
      <c r="BD22" s="291"/>
      <c r="BE22" s="291"/>
      <c r="BF22" s="292">
        <f>BF21-BF20</f>
        <v>88148.622000000003</v>
      </c>
      <c r="BG22" s="292">
        <f>BG21-BG20</f>
        <v>390842.62500000006</v>
      </c>
      <c r="BH22" s="291"/>
      <c r="BI22" s="291"/>
      <c r="BJ22" s="291"/>
      <c r="BK22" s="292">
        <f>BK21-BK20</f>
        <v>74069.044999999998</v>
      </c>
      <c r="BL22" s="292">
        <f>BL21-BL20</f>
        <v>327659.74599999998</v>
      </c>
      <c r="BM22" s="291"/>
      <c r="BN22" s="291"/>
      <c r="BO22" s="291"/>
      <c r="BP22" s="292">
        <f>BP21-BP20</f>
        <v>263973.50900000002</v>
      </c>
      <c r="BQ22" s="292">
        <f>BQ21-BQ20</f>
        <v>1172904.098</v>
      </c>
      <c r="BR22" s="291"/>
      <c r="BS22" s="291"/>
      <c r="BT22" s="291"/>
      <c r="BU22" s="292">
        <f>BU21-BU20</f>
        <v>71770.617000000013</v>
      </c>
      <c r="BV22" s="292">
        <f>BV21-BV20</f>
        <v>316009.212</v>
      </c>
      <c r="BW22" s="291"/>
      <c r="BX22" s="291"/>
      <c r="BY22" s="291"/>
      <c r="BZ22" s="292">
        <f>BZ21-BZ20</f>
        <v>77636.561000000002</v>
      </c>
      <c r="CA22" s="292">
        <f>CA21-CA20</f>
        <v>340019.87</v>
      </c>
      <c r="CB22" s="291"/>
      <c r="CC22" s="291"/>
      <c r="CD22" s="291"/>
      <c r="CE22" s="292">
        <f>CE21-CE20</f>
        <v>85297.311000000002</v>
      </c>
      <c r="CF22" s="292">
        <f>CF21-CF20</f>
        <v>372113.75999999995</v>
      </c>
      <c r="CG22" s="291"/>
      <c r="CH22" s="291"/>
      <c r="CI22" s="291"/>
      <c r="CJ22" s="292">
        <f>CJ21-CJ20</f>
        <v>232876.48599999998</v>
      </c>
      <c r="CK22" s="292">
        <f>CK21-CK20</f>
        <v>1019207.2130000002</v>
      </c>
      <c r="CL22" s="291"/>
      <c r="CM22" s="291"/>
      <c r="CN22" s="291"/>
      <c r="CO22" s="292">
        <f>CO21-CO20</f>
        <v>496849.99500000005</v>
      </c>
      <c r="CP22" s="292">
        <f>CP21-CP20</f>
        <v>2192111.3110000002</v>
      </c>
      <c r="CQ22" s="291"/>
      <c r="CR22" s="291"/>
      <c r="CS22" s="291"/>
      <c r="CT22" s="292">
        <f>CT21-CT20</f>
        <v>942543.31700000004</v>
      </c>
      <c r="CU22" s="292">
        <f>CU21-CU20</f>
        <v>4044187.9920000001</v>
      </c>
      <c r="CV22" s="292"/>
      <c r="CW22" s="291"/>
      <c r="CX22" s="291"/>
    </row>
    <row r="23" spans="1:103" ht="12" customHeight="1">
      <c r="C23" s="35"/>
      <c r="Z23" s="115"/>
    </row>
    <row r="24" spans="1:103" ht="21.75" customHeight="1">
      <c r="C24" s="379"/>
      <c r="J24" s="115"/>
      <c r="AC24" s="115"/>
    </row>
    <row r="25" spans="1:103">
      <c r="C25" s="380"/>
      <c r="D25" s="34"/>
      <c r="E25" s="34"/>
    </row>
    <row r="26" spans="1:103" ht="46.5" customHeight="1">
      <c r="C26" s="386" t="s">
        <v>114</v>
      </c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  <c r="O26" s="386"/>
      <c r="P26" s="386"/>
    </row>
    <row r="27" spans="1:103" ht="31.5">
      <c r="C27" s="293"/>
      <c r="D27" s="294"/>
      <c r="E27" s="294"/>
      <c r="F27" s="294"/>
      <c r="G27" s="319"/>
      <c r="H27" s="294"/>
      <c r="I27" s="294"/>
      <c r="J27" s="294"/>
      <c r="K27" s="294"/>
      <c r="L27" s="294"/>
    </row>
    <row r="29" spans="1:103">
      <c r="C29" s="5"/>
    </row>
    <row r="30" spans="1:103">
      <c r="C30" s="5"/>
    </row>
    <row r="31" spans="1:103">
      <c r="C31" s="5"/>
    </row>
    <row r="32" spans="1:103">
      <c r="C32" s="5"/>
    </row>
    <row r="33" spans="3:26">
      <c r="C33" s="5"/>
    </row>
    <row r="34" spans="3:26" ht="26.25">
      <c r="C34" s="5"/>
      <c r="Y34" s="272">
        <f>Y33-Y32</f>
        <v>0</v>
      </c>
      <c r="Z34" s="272">
        <f>Z33-Z32</f>
        <v>0</v>
      </c>
    </row>
    <row r="35" spans="3:26">
      <c r="C35" s="5"/>
    </row>
    <row r="36" spans="3:26">
      <c r="C36" s="5"/>
    </row>
    <row r="37" spans="3:26">
      <c r="C37" s="5"/>
    </row>
    <row r="38" spans="3:26">
      <c r="C38" s="5"/>
    </row>
    <row r="39" spans="3:26">
      <c r="C39" s="5"/>
    </row>
    <row r="40" spans="3:26">
      <c r="C40" s="5"/>
    </row>
    <row r="41" spans="3:26">
      <c r="C41" s="5"/>
    </row>
    <row r="42" spans="3:26">
      <c r="C42" s="5"/>
    </row>
    <row r="43" spans="3:26">
      <c r="C43" s="5"/>
    </row>
    <row r="44" spans="3:26">
      <c r="C44" s="5"/>
    </row>
    <row r="45" spans="3:26">
      <c r="C45" s="5"/>
    </row>
    <row r="46" spans="3:26">
      <c r="C46" s="5"/>
    </row>
    <row r="47" spans="3:26">
      <c r="C47" s="5"/>
    </row>
  </sheetData>
  <mergeCells count="27">
    <mergeCell ref="B2:AZ2"/>
    <mergeCell ref="CQ1:CT1"/>
    <mergeCell ref="AH5:AL5"/>
    <mergeCell ref="AM5:AQ5"/>
    <mergeCell ref="B5:B6"/>
    <mergeCell ref="C5:C6"/>
    <mergeCell ref="CT5:CX5"/>
    <mergeCell ref="BZ5:CD5"/>
    <mergeCell ref="CE5:CI5"/>
    <mergeCell ref="CJ5:CN5"/>
    <mergeCell ref="BA5:BE5"/>
    <mergeCell ref="BF5:BJ5"/>
    <mergeCell ref="BK5:BO5"/>
    <mergeCell ref="BP5:BT5"/>
    <mergeCell ref="BU5:BY5"/>
    <mergeCell ref="AV5:AZ5"/>
    <mergeCell ref="C26:P26"/>
    <mergeCell ref="AR5:AU5"/>
    <mergeCell ref="T5:X5"/>
    <mergeCell ref="Y5:AB5"/>
    <mergeCell ref="CO5:CS5"/>
    <mergeCell ref="C24:C25"/>
    <mergeCell ref="J5:N5"/>
    <mergeCell ref="D5:I5"/>
    <mergeCell ref="C22:I22"/>
    <mergeCell ref="AC5:AG5"/>
    <mergeCell ref="O5:S5"/>
  </mergeCells>
  <printOptions horizontalCentered="1" verticalCentered="1"/>
  <pageMargins left="0" right="0" top="0" bottom="0" header="0.31496062992125984" footer="0.31496062992125984"/>
  <pageSetup paperSize="9" scale="30" orientation="landscape" r:id="rId1"/>
  <colBreaks count="4" manualBreakCount="4">
    <brk id="24" max="25" man="1"/>
    <brk id="43" max="25" man="1"/>
    <brk id="62" max="25" man="1"/>
    <brk id="82" max="2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9"/>
  <sheetViews>
    <sheetView view="pageBreakPreview" zoomScale="70" zoomScaleNormal="90" zoomScaleSheetLayoutView="70" workbookViewId="0">
      <selection activeCell="P3" sqref="P3"/>
    </sheetView>
  </sheetViews>
  <sheetFormatPr defaultRowHeight="15"/>
  <cols>
    <col min="1" max="1" width="32.42578125" customWidth="1"/>
    <col min="2" max="4" width="18" bestFit="1" customWidth="1"/>
    <col min="5" max="5" width="18" customWidth="1"/>
    <col min="6" max="6" width="21.140625" hidden="1" customWidth="1"/>
    <col min="9" max="9" width="9.140625" customWidth="1"/>
    <col min="10" max="10" width="30" customWidth="1"/>
    <col min="11" max="11" width="16.85546875" customWidth="1"/>
  </cols>
  <sheetData>
    <row r="1" spans="1:15" ht="32.25" customHeight="1">
      <c r="A1" s="171"/>
      <c r="B1" s="171"/>
      <c r="C1" s="427"/>
      <c r="D1" s="428"/>
      <c r="E1" s="428"/>
      <c r="F1" s="428"/>
      <c r="K1" s="178" t="s">
        <v>105</v>
      </c>
      <c r="L1" s="174"/>
      <c r="M1" s="179"/>
      <c r="N1" s="179"/>
      <c r="O1" s="175"/>
    </row>
    <row r="2" spans="1:15">
      <c r="A2" s="171"/>
      <c r="B2" s="364">
        <f>C7/C10</f>
        <v>0.57319715132711635</v>
      </c>
      <c r="C2" s="171"/>
      <c r="D2" s="171"/>
      <c r="E2" s="171"/>
      <c r="F2" s="171"/>
    </row>
    <row r="3" spans="1:15">
      <c r="A3" s="429" t="s">
        <v>0</v>
      </c>
      <c r="B3" s="430" t="s">
        <v>141</v>
      </c>
      <c r="C3" s="430"/>
      <c r="D3" s="430"/>
      <c r="E3" s="430"/>
      <c r="F3" s="430"/>
    </row>
    <row r="4" spans="1:15" ht="15.75" customHeight="1">
      <c r="A4" s="429"/>
      <c r="B4" s="430"/>
      <c r="C4" s="430"/>
      <c r="D4" s="430"/>
      <c r="E4" s="430"/>
      <c r="F4" s="430"/>
    </row>
    <row r="5" spans="1:15" ht="66.75" customHeight="1">
      <c r="A5" s="429"/>
      <c r="B5" s="142" t="s">
        <v>45</v>
      </c>
      <c r="C5" s="142" t="s">
        <v>61</v>
      </c>
      <c r="D5" s="142" t="s">
        <v>95</v>
      </c>
      <c r="E5" s="142" t="s">
        <v>17</v>
      </c>
      <c r="F5" s="142" t="s">
        <v>46</v>
      </c>
    </row>
    <row r="6" spans="1:15" ht="42" customHeight="1">
      <c r="A6" s="270" t="s">
        <v>13</v>
      </c>
      <c r="B6" s="148">
        <f>'Приложение №1'!CX8</f>
        <v>8.1262982141684093E-2</v>
      </c>
      <c r="C6" s="148">
        <v>771.95</v>
      </c>
      <c r="D6" s="148">
        <v>3931.83</v>
      </c>
      <c r="E6" s="148">
        <f>D6/C6</f>
        <v>5.0933739231815531</v>
      </c>
      <c r="F6" s="148">
        <v>98.91</v>
      </c>
    </row>
    <row r="7" spans="1:15" ht="47.25" customHeight="1">
      <c r="A7" s="270" t="s">
        <v>21</v>
      </c>
      <c r="B7" s="148">
        <f>'Приложение №1'!CX9</f>
        <v>53.624790085016329</v>
      </c>
      <c r="C7" s="148">
        <v>509403.61</v>
      </c>
      <c r="D7" s="148">
        <v>2492832.2999999998</v>
      </c>
      <c r="E7" s="148">
        <f>D7/C7</f>
        <v>4.8936290420085555</v>
      </c>
      <c r="F7" s="148">
        <v>100</v>
      </c>
    </row>
    <row r="8" spans="1:15" ht="73.5" customHeight="1">
      <c r="A8" s="270" t="s">
        <v>1</v>
      </c>
      <c r="B8" s="148">
        <f>'Приложение №1'!CX10</f>
        <v>4.8610647441732571</v>
      </c>
      <c r="C8" s="148">
        <v>46177.22</v>
      </c>
      <c r="D8" s="148">
        <v>159222.82</v>
      </c>
      <c r="E8" s="148">
        <f>D8/C8</f>
        <v>3.4480815432371199</v>
      </c>
      <c r="F8" s="148">
        <v>100</v>
      </c>
    </row>
    <row r="9" spans="1:15" ht="35.25" customHeight="1">
      <c r="A9" s="270" t="s">
        <v>2</v>
      </c>
      <c r="B9" s="148">
        <f>'Приложение №1'!CX11</f>
        <v>34.986714420898387</v>
      </c>
      <c r="C9" s="148">
        <v>332352.98</v>
      </c>
      <c r="D9" s="148">
        <v>1134507.8500000001</v>
      </c>
      <c r="E9" s="148">
        <f>D9/C9</f>
        <v>3.4135630437253792</v>
      </c>
      <c r="F9" s="148">
        <v>100</v>
      </c>
    </row>
    <row r="10" spans="1:15" ht="24.75" customHeight="1">
      <c r="A10" s="270" t="s">
        <v>131</v>
      </c>
      <c r="B10" s="154"/>
      <c r="C10" s="369">
        <f>C6+C7+C8+C9</f>
        <v>888705.76</v>
      </c>
      <c r="D10" s="369">
        <f>D6+D7+D8+D9</f>
        <v>3790494.8</v>
      </c>
      <c r="E10" s="148">
        <f t="shared" ref="E10:E18" si="0">D10/C10</f>
        <v>4.2651853634885857</v>
      </c>
      <c r="F10" s="148"/>
    </row>
    <row r="11" spans="1:15" ht="27.75" customHeight="1">
      <c r="A11" s="270" t="s">
        <v>132</v>
      </c>
      <c r="B11" s="371">
        <f>C11/C19*100</f>
        <v>6.4461678084855256</v>
      </c>
      <c r="C11" s="372">
        <f>'Приложение №1'!CT12</f>
        <v>61234.760000000009</v>
      </c>
      <c r="D11" s="372">
        <f>'Приложение №1'!CU12</f>
        <v>289213.28453</v>
      </c>
      <c r="E11" s="373">
        <f t="shared" si="0"/>
        <v>4.7230247090051458</v>
      </c>
      <c r="F11" s="148">
        <v>100.01</v>
      </c>
    </row>
    <row r="12" spans="1:15" ht="21" customHeight="1">
      <c r="A12" s="327" t="s">
        <v>3</v>
      </c>
      <c r="B12" s="328">
        <f>'Приложение №1'!CX13</f>
        <v>50.914993379577211</v>
      </c>
      <c r="C12" s="328">
        <f>'Приложение №1'!CT13</f>
        <v>31177.673999999999</v>
      </c>
      <c r="D12" s="328">
        <f>'Приложение №1'!CU13</f>
        <v>142003.06400000001</v>
      </c>
      <c r="E12" s="148">
        <f t="shared" si="0"/>
        <v>4.5546394512945394</v>
      </c>
      <c r="F12" s="148">
        <v>100</v>
      </c>
    </row>
    <row r="13" spans="1:15" ht="42.75" customHeight="1">
      <c r="A13" s="267" t="s">
        <v>4</v>
      </c>
      <c r="B13" s="148">
        <f>'Приложение №1'!CX16</f>
        <v>26.456693877790975</v>
      </c>
      <c r="C13" s="328">
        <f>'Приложение №1'!CT16</f>
        <v>16200.692999999999</v>
      </c>
      <c r="D13" s="328">
        <f>'Приложение №1'!CU16</f>
        <v>79918.796000000002</v>
      </c>
      <c r="E13" s="148">
        <f t="shared" si="0"/>
        <v>4.9330479875151028</v>
      </c>
      <c r="F13" s="148">
        <v>100</v>
      </c>
    </row>
    <row r="14" spans="1:15">
      <c r="A14" s="267" t="s">
        <v>5</v>
      </c>
      <c r="B14" s="148">
        <f>'Приложение №1'!CX17</f>
        <v>3.4133668524217295</v>
      </c>
      <c r="C14" s="328">
        <f>'Приложение №1'!CT17</f>
        <v>2090.1670000000004</v>
      </c>
      <c r="D14" s="328">
        <f>'Приложение №1'!CU17</f>
        <v>10274.956</v>
      </c>
      <c r="E14" s="148">
        <f t="shared" si="0"/>
        <v>4.9158540920414486</v>
      </c>
      <c r="F14" s="148">
        <v>100</v>
      </c>
    </row>
    <row r="15" spans="1:15" ht="40.5" customHeight="1">
      <c r="A15" s="267" t="s">
        <v>12</v>
      </c>
      <c r="B15" s="148">
        <f>'Приложение №1'!CX18</f>
        <v>1.29941556070441</v>
      </c>
      <c r="C15" s="328">
        <f>'Приложение №1'!CT18</f>
        <v>795.69399999999996</v>
      </c>
      <c r="D15" s="328">
        <f>'Приложение №1'!CU18</f>
        <v>3917.66</v>
      </c>
      <c r="E15" s="148">
        <f t="shared" si="0"/>
        <v>4.9235761486199472</v>
      </c>
      <c r="F15" s="148">
        <v>99.63</v>
      </c>
    </row>
    <row r="16" spans="1:15" ht="42.75" customHeight="1">
      <c r="A16" s="267" t="s">
        <v>6</v>
      </c>
      <c r="B16" s="148">
        <f>'Приложение №1'!CX19</f>
        <v>5.835448689600482</v>
      </c>
      <c r="C16" s="328">
        <f>'Приложение №1'!CT19</f>
        <v>3573.3230000000003</v>
      </c>
      <c r="D16" s="328">
        <f>'Приложение №1'!CU19</f>
        <v>17578.721000000001</v>
      </c>
      <c r="E16" s="148">
        <f t="shared" si="0"/>
        <v>4.9194324162691139</v>
      </c>
      <c r="F16" s="148">
        <v>100</v>
      </c>
    </row>
    <row r="17" spans="1:6" ht="71.25" hidden="1">
      <c r="A17" s="268" t="s">
        <v>107</v>
      </c>
      <c r="B17" s="258">
        <v>13.2</v>
      </c>
      <c r="C17" s="328">
        <f>'Приложение №1'!CT18</f>
        <v>795.69399999999996</v>
      </c>
      <c r="D17" s="258">
        <v>16697.04135</v>
      </c>
      <c r="E17" s="148">
        <f t="shared" si="0"/>
        <v>20.984249409949051</v>
      </c>
      <c r="F17" s="269"/>
    </row>
    <row r="18" spans="1:6" ht="88.5" customHeight="1">
      <c r="A18" s="270" t="s">
        <v>112</v>
      </c>
      <c r="B18" s="358">
        <f>'Приложение №1'!CX20</f>
        <v>12.080081639905176</v>
      </c>
      <c r="C18" s="269">
        <f>'Приложение №1'!CT20</f>
        <v>7397.2089999999998</v>
      </c>
      <c r="D18" s="269">
        <f>'Приложение №1'!CU20</f>
        <v>35520.087530000004</v>
      </c>
      <c r="E18" s="148">
        <f t="shared" si="0"/>
        <v>4.8018228942835064</v>
      </c>
      <c r="F18" s="269"/>
    </row>
    <row r="19" spans="1:6" ht="46.5" customHeight="1">
      <c r="A19" s="270" t="s">
        <v>142</v>
      </c>
      <c r="B19" s="370"/>
      <c r="C19" s="374">
        <f>C10+C11</f>
        <v>949940.52</v>
      </c>
      <c r="D19" s="374">
        <f>D10+D11</f>
        <v>4079708.0845299996</v>
      </c>
      <c r="E19" s="370"/>
    </row>
  </sheetData>
  <mergeCells count="3">
    <mergeCell ref="C1:F1"/>
    <mergeCell ref="A3:A5"/>
    <mergeCell ref="B3:F4"/>
  </mergeCells>
  <printOptions horizontalCentered="1"/>
  <pageMargins left="0.23622047244094491" right="0.39370078740157483" top="0.62992125984251968" bottom="0.74803149606299213" header="0.31496062992125984" footer="0.31496062992125984"/>
  <pageSetup paperSize="9" scale="78" orientation="portrait" r:id="rId1"/>
  <colBreaks count="1" manualBreakCount="1">
    <brk id="6" max="39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15"/>
  <sheetViews>
    <sheetView view="pageBreakPreview" zoomScale="90" zoomScaleNormal="80" zoomScaleSheetLayoutView="90" workbookViewId="0">
      <pane xSplit="1" ySplit="3" topLeftCell="B18" activePane="bottomRight" state="frozen"/>
      <selection pane="topRight" activeCell="B1" sqref="B1"/>
      <selection pane="bottomLeft" activeCell="A4" sqref="A4"/>
      <selection pane="bottomRight" activeCell="N22" sqref="N22"/>
    </sheetView>
  </sheetViews>
  <sheetFormatPr defaultRowHeight="15"/>
  <cols>
    <col min="1" max="1" width="45.28515625" customWidth="1"/>
    <col min="2" max="2" width="11.7109375" customWidth="1"/>
    <col min="3" max="3" width="9.42578125" bestFit="1" customWidth="1"/>
    <col min="10" max="10" width="9.140625" customWidth="1"/>
    <col min="11" max="11" width="10.7109375" bestFit="1" customWidth="1"/>
  </cols>
  <sheetData>
    <row r="1" spans="1:14" ht="32.25" customHeight="1">
      <c r="C1" s="431" t="s">
        <v>10</v>
      </c>
      <c r="D1" s="431"/>
      <c r="E1" s="431"/>
      <c r="F1" s="431"/>
      <c r="G1" s="431"/>
      <c r="H1" s="431"/>
      <c r="I1" s="431"/>
      <c r="J1" s="431"/>
    </row>
    <row r="2" spans="1:14" ht="3.75" customHeight="1">
      <c r="A2" s="43"/>
    </row>
    <row r="3" spans="1:14" ht="51.75" customHeight="1">
      <c r="A3" s="433" t="s">
        <v>130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4" ht="39" customHeight="1">
      <c r="A4" s="41" t="s">
        <v>0</v>
      </c>
      <c r="B4" s="44">
        <v>43831</v>
      </c>
      <c r="C4" s="44">
        <v>43862</v>
      </c>
      <c r="D4" s="44">
        <v>43891</v>
      </c>
      <c r="E4" s="44">
        <v>43922</v>
      </c>
      <c r="F4" s="44">
        <v>43952</v>
      </c>
      <c r="G4" s="44">
        <v>43983</v>
      </c>
      <c r="H4" s="44">
        <v>44013</v>
      </c>
      <c r="I4" s="44">
        <v>44044</v>
      </c>
      <c r="J4" s="44">
        <v>44075</v>
      </c>
      <c r="K4" s="44">
        <v>44105</v>
      </c>
      <c r="L4" s="44">
        <v>44136</v>
      </c>
      <c r="M4" s="44">
        <v>44166</v>
      </c>
    </row>
    <row r="5" spans="1:14" ht="53.25" customHeight="1">
      <c r="A5" s="145" t="s">
        <v>13</v>
      </c>
      <c r="B5" s="24">
        <f>'Приложение №1'!N8</f>
        <v>0.23215676784535746</v>
      </c>
      <c r="C5" s="260">
        <f>'Приложение №1'!S8</f>
        <v>0.22806958821743592</v>
      </c>
      <c r="D5" s="260">
        <f>'Приложение №1'!X8</f>
        <v>5.4479150014388961E-3</v>
      </c>
      <c r="E5" s="260">
        <f>'Приложение №1'!AG8</f>
        <v>7.732948980688123E-2</v>
      </c>
      <c r="F5" s="260">
        <f>'Приложение №1'!AL8</f>
        <v>4.8831327124340122E-2</v>
      </c>
      <c r="G5" s="360">
        <f>'Приложение №1'!AQ8</f>
        <v>1.3224976298121434E-3</v>
      </c>
      <c r="H5" s="260">
        <f>'Приложение №1'!BE8</f>
        <v>6.8169195932592783E-2</v>
      </c>
      <c r="I5" s="260">
        <f>'Приложение №1'!BJ8</f>
        <v>8.5206406195138668E-2</v>
      </c>
      <c r="J5" s="260">
        <v>0.05</v>
      </c>
      <c r="K5" s="265">
        <v>0.1</v>
      </c>
      <c r="L5" s="265">
        <v>0.05</v>
      </c>
      <c r="M5" s="265">
        <v>0.04</v>
      </c>
    </row>
    <row r="6" spans="1:14" ht="57.75" customHeight="1">
      <c r="A6" s="145" t="s">
        <v>21</v>
      </c>
      <c r="B6" s="325">
        <f>'Приложение №1'!N9</f>
        <v>53.791341196848904</v>
      </c>
      <c r="C6" s="326">
        <f>'Приложение №1'!S9</f>
        <v>49.171723656025215</v>
      </c>
      <c r="D6" s="326">
        <f>'Приложение №1'!X9</f>
        <v>53.010103311510505</v>
      </c>
      <c r="E6" s="326">
        <f>'Приложение №1'!AG9</f>
        <v>54.535916910307193</v>
      </c>
      <c r="F6" s="326">
        <f>'Приложение №1'!AL9</f>
        <v>56.665025080420804</v>
      </c>
      <c r="G6" s="326">
        <f>'Приложение №1'!AQ9</f>
        <v>58.268361527980737</v>
      </c>
      <c r="H6" s="326">
        <f>'Приложение №1'!BE9</f>
        <v>60.560174213941231</v>
      </c>
      <c r="I6" s="326">
        <f>'Приложение №1'!BJ9</f>
        <v>58.561514174162674</v>
      </c>
      <c r="J6" s="259">
        <v>51.52</v>
      </c>
      <c r="K6" s="265">
        <v>49.92</v>
      </c>
      <c r="L6" s="265">
        <v>47.74</v>
      </c>
      <c r="M6" s="265">
        <v>47.37</v>
      </c>
      <c r="N6" s="89"/>
    </row>
    <row r="7" spans="1:14" ht="66.75" customHeight="1">
      <c r="A7" s="145" t="s">
        <v>1</v>
      </c>
      <c r="B7" s="325">
        <f>'Приложение №1'!N10</f>
        <v>6.0526723153556556</v>
      </c>
      <c r="C7" s="326">
        <f>'Приложение №1'!S10</f>
        <v>3.7895657081549303</v>
      </c>
      <c r="D7" s="326">
        <f>'Приложение №1'!X10</f>
        <v>5.5645954541992984</v>
      </c>
      <c r="E7" s="326">
        <f>'Приложение №1'!AG10</f>
        <v>5.1303201822913991</v>
      </c>
      <c r="F7" s="326">
        <f>'Приложение №1'!AL10</f>
        <v>4.2171637137495281</v>
      </c>
      <c r="G7" s="326">
        <f>'Приложение №1'!AQ10</f>
        <v>7.1973719346112022</v>
      </c>
      <c r="H7" s="326">
        <f>'Приложение №1'!BE10</f>
        <v>4.7320056395208709</v>
      </c>
      <c r="I7" s="326">
        <f>'Приложение №1'!BJ10</f>
        <v>5.4955152750892573</v>
      </c>
      <c r="J7" s="259">
        <v>3.52</v>
      </c>
      <c r="K7" s="265">
        <v>3.3</v>
      </c>
      <c r="L7" s="265">
        <v>5.62</v>
      </c>
      <c r="M7" s="265">
        <v>3.58</v>
      </c>
    </row>
    <row r="8" spans="1:14" ht="33" customHeight="1">
      <c r="A8" s="145" t="s">
        <v>2</v>
      </c>
      <c r="B8" s="24">
        <f>'Приложение №1'!N11</f>
        <v>36.028584096424382</v>
      </c>
      <c r="C8" s="260">
        <f>'Приложение №1'!S11</f>
        <v>44.568072118291745</v>
      </c>
      <c r="D8" s="260">
        <f>'Приложение №1'!X11</f>
        <v>38.191267273587407</v>
      </c>
      <c r="E8" s="260">
        <f>'Приложение №1'!AG11</f>
        <v>37.049308315429357</v>
      </c>
      <c r="F8" s="260">
        <f>'Приложение №1'!AL11</f>
        <v>35.219951694553266</v>
      </c>
      <c r="G8" s="260">
        <f>'Приложение №1'!AQ11</f>
        <v>30.558098396223883</v>
      </c>
      <c r="H8" s="260">
        <f>'Приложение №1'!BE11</f>
        <v>31.195218009863151</v>
      </c>
      <c r="I8" s="260">
        <f>'Приложение №1'!BJ11</f>
        <v>32.469322686418693</v>
      </c>
      <c r="J8" s="259">
        <v>33.25</v>
      </c>
      <c r="K8" s="265">
        <v>34.21</v>
      </c>
      <c r="L8" s="265">
        <v>33.56</v>
      </c>
      <c r="M8" s="265">
        <v>35.47</v>
      </c>
    </row>
    <row r="9" spans="1:14" ht="33.75" customHeight="1">
      <c r="A9" s="145" t="s">
        <v>20</v>
      </c>
      <c r="B9" s="24">
        <f>'Приложение №1'!N12</f>
        <v>3.8952456235256929</v>
      </c>
      <c r="C9" s="260">
        <f>'Приложение №1'!S12</f>
        <v>2.2425689293106612</v>
      </c>
      <c r="D9" s="260">
        <f>'Приложение №1'!X12</f>
        <v>3.2285860457013684</v>
      </c>
      <c r="E9" s="260">
        <f>'Приложение №1'!AG12</f>
        <v>3.207125102165175</v>
      </c>
      <c r="F9" s="260">
        <f>'Приложение №1'!AL12</f>
        <v>3.8490281841520533</v>
      </c>
      <c r="G9" s="260">
        <f>'Приложение №1'!AQ12</f>
        <v>3.9748456435543789</v>
      </c>
      <c r="H9" s="260">
        <f>'Приложение №1'!BE12</f>
        <v>3.4444329407421654</v>
      </c>
      <c r="I9" s="260">
        <f>'Приложение №1'!BJ12</f>
        <v>3.3884414581342268</v>
      </c>
      <c r="J9" s="259">
        <v>11.66</v>
      </c>
      <c r="K9" s="265">
        <v>12.47</v>
      </c>
      <c r="L9" s="265">
        <v>13.03</v>
      </c>
      <c r="M9" s="265">
        <v>13.53</v>
      </c>
    </row>
    <row r="10" spans="1:14" ht="55.5" customHeight="1">
      <c r="A10" s="145" t="s">
        <v>7</v>
      </c>
      <c r="B10" s="359">
        <v>100</v>
      </c>
      <c r="C10" s="359">
        <f t="shared" ref="C10:M10" si="0">SUM(C5+C6+C7+C8+C9)</f>
        <v>100</v>
      </c>
      <c r="D10" s="359">
        <f t="shared" si="0"/>
        <v>100.00000000000001</v>
      </c>
      <c r="E10" s="359">
        <f t="shared" si="0"/>
        <v>100</v>
      </c>
      <c r="F10" s="359">
        <f>SUM(F5+F6+F7+F8+F9)</f>
        <v>99.999999999999986</v>
      </c>
      <c r="G10" s="359">
        <f t="shared" si="0"/>
        <v>100.00000000000001</v>
      </c>
      <c r="H10" s="359">
        <f t="shared" si="0"/>
        <v>100.00000000000001</v>
      </c>
      <c r="I10" s="359">
        <f t="shared" si="0"/>
        <v>99.999999999999986</v>
      </c>
      <c r="J10" s="336">
        <f t="shared" si="0"/>
        <v>100</v>
      </c>
      <c r="K10" s="111">
        <f t="shared" si="0"/>
        <v>100</v>
      </c>
      <c r="L10" s="111">
        <f t="shared" si="0"/>
        <v>100</v>
      </c>
      <c r="M10" s="111">
        <f t="shared" si="0"/>
        <v>99.99</v>
      </c>
    </row>
    <row r="15" spans="1:14" ht="25.5">
      <c r="E15" s="432" t="s">
        <v>10</v>
      </c>
      <c r="F15" s="432"/>
      <c r="G15" s="432"/>
      <c r="H15" s="432"/>
      <c r="I15" s="432"/>
      <c r="J15" s="432"/>
      <c r="K15" s="432"/>
      <c r="L15" s="432"/>
    </row>
  </sheetData>
  <mergeCells count="3">
    <mergeCell ref="C1:J1"/>
    <mergeCell ref="E15:L15"/>
    <mergeCell ref="A3:M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7"/>
  <sheetViews>
    <sheetView view="pageBreakPreview" topLeftCell="A25" zoomScale="76" zoomScaleNormal="90" zoomScaleSheetLayoutView="76" workbookViewId="0">
      <selection activeCell="J25" sqref="J25"/>
    </sheetView>
  </sheetViews>
  <sheetFormatPr defaultRowHeight="15"/>
  <cols>
    <col min="1" max="1" width="49.28515625" customWidth="1"/>
    <col min="2" max="2" width="14.85546875" customWidth="1"/>
    <col min="3" max="7" width="14" bestFit="1" customWidth="1"/>
    <col min="8" max="8" width="14.85546875" customWidth="1"/>
    <col min="9" max="9" width="15" customWidth="1"/>
    <col min="10" max="10" width="14.42578125" customWidth="1"/>
    <col min="11" max="11" width="17" customWidth="1"/>
    <col min="12" max="12" width="15.42578125" customWidth="1"/>
    <col min="13" max="13" width="15.28515625" customWidth="1"/>
  </cols>
  <sheetData>
    <row r="1" spans="1:13" ht="38.25" customHeight="1">
      <c r="D1" s="434" t="s">
        <v>11</v>
      </c>
      <c r="E1" s="434"/>
      <c r="F1" s="434"/>
      <c r="G1" s="434"/>
      <c r="H1" s="434"/>
      <c r="I1" s="434"/>
      <c r="J1" s="434"/>
    </row>
    <row r="2" spans="1:13" ht="33.75" customHeight="1">
      <c r="A2" s="43"/>
    </row>
    <row r="3" spans="1:13" ht="95.25" customHeight="1">
      <c r="A3" s="435" t="s">
        <v>108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5.75">
      <c r="A4" s="132" t="s">
        <v>0</v>
      </c>
      <c r="B4" s="44">
        <v>43831</v>
      </c>
      <c r="C4" s="44">
        <v>43862</v>
      </c>
      <c r="D4" s="44">
        <v>43891</v>
      </c>
      <c r="E4" s="44">
        <v>43922</v>
      </c>
      <c r="F4" s="44">
        <v>43952</v>
      </c>
      <c r="G4" s="44">
        <v>43983</v>
      </c>
      <c r="H4" s="44">
        <v>44013</v>
      </c>
      <c r="I4" s="44">
        <v>44044</v>
      </c>
      <c r="J4" s="44">
        <v>44075</v>
      </c>
      <c r="K4" s="44">
        <v>44105</v>
      </c>
      <c r="L4" s="44">
        <v>44136</v>
      </c>
      <c r="M4" s="44">
        <v>44166</v>
      </c>
    </row>
    <row r="5" spans="1:13" ht="31.5">
      <c r="A5" s="133" t="s">
        <v>13</v>
      </c>
      <c r="B5" s="128">
        <f>'Приложение №1'!J8</f>
        <v>159.482</v>
      </c>
      <c r="C5" s="129">
        <f>'Приложение №1'!O8</f>
        <v>182.88300000000001</v>
      </c>
      <c r="D5" s="129">
        <f>'Приложение №1'!T8</f>
        <v>3.931</v>
      </c>
      <c r="E5" s="129">
        <f>'Приложение №1'!AC8</f>
        <v>57.769000000000005</v>
      </c>
      <c r="F5" s="129">
        <f>'Приложение №1'!AH8</f>
        <v>32.963999999999999</v>
      </c>
      <c r="G5" s="160">
        <f>'Приложение №1'!AM8</f>
        <v>1.113</v>
      </c>
      <c r="H5" s="259">
        <f>'Приложение №1'!BA8</f>
        <v>69.846000000000004</v>
      </c>
      <c r="I5" s="259">
        <f>'Приложение №1'!BF8</f>
        <v>75.789999999999992</v>
      </c>
      <c r="J5" s="259">
        <v>36.56</v>
      </c>
      <c r="K5" s="265">
        <v>75.28</v>
      </c>
      <c r="L5" s="265">
        <v>38.229999999999997</v>
      </c>
      <c r="M5" s="265">
        <v>38.11</v>
      </c>
    </row>
    <row r="6" spans="1:13" ht="47.25">
      <c r="A6" s="133" t="s">
        <v>21</v>
      </c>
      <c r="B6" s="329">
        <f>'Приложение №1'!J9</f>
        <v>36952.403999999995</v>
      </c>
      <c r="C6" s="129">
        <f>'Приложение №1'!O9</f>
        <v>39429.510999999999</v>
      </c>
      <c r="D6" s="129">
        <f>'Приложение №1'!T9</f>
        <v>38249.994000000006</v>
      </c>
      <c r="E6" s="129">
        <f>'Приложение №1'!AC9</f>
        <v>40741.06</v>
      </c>
      <c r="F6" s="129">
        <f>'Приложение №1'!AH9</f>
        <v>38252.203999999998</v>
      </c>
      <c r="G6" s="160">
        <f>'Приложение №1'!AM9</f>
        <v>49038.036</v>
      </c>
      <c r="H6" s="259">
        <f>'Приложение №1'!BA9</f>
        <v>62049.814000000006</v>
      </c>
      <c r="I6" s="259">
        <f>'Приложение №1'!BF9</f>
        <v>52089.712</v>
      </c>
      <c r="J6" s="259">
        <v>38427.980000000003</v>
      </c>
      <c r="K6" s="265">
        <v>36117.410000000003</v>
      </c>
      <c r="L6" s="265">
        <v>37327.64</v>
      </c>
      <c r="M6" s="265">
        <v>40727.86</v>
      </c>
    </row>
    <row r="7" spans="1:13" ht="63">
      <c r="A7" s="133" t="s">
        <v>1</v>
      </c>
      <c r="B7" s="128">
        <f>'Приложение №1'!J10</f>
        <v>4157.933</v>
      </c>
      <c r="C7" s="129">
        <f>'Приложение №1'!O10</f>
        <v>3038.7530000000002</v>
      </c>
      <c r="D7" s="129">
        <f>'Приложение №1'!T10</f>
        <v>4015.192</v>
      </c>
      <c r="E7" s="129">
        <f>'Приложение №1'!AC10</f>
        <v>3832.6060000000002</v>
      </c>
      <c r="F7" s="129">
        <f>'Приложение №1'!AH10</f>
        <v>2846.8319999999999</v>
      </c>
      <c r="G7" s="160">
        <f>'Приложение №1'!AM10</f>
        <v>6057.232</v>
      </c>
      <c r="H7" s="259">
        <f>'Приложение №1'!BA10</f>
        <v>4848.402</v>
      </c>
      <c r="I7" s="259">
        <f>'Приложение №1'!BF10</f>
        <v>4888.1899999999996</v>
      </c>
      <c r="J7" s="259">
        <v>2627.63</v>
      </c>
      <c r="K7" s="259">
        <v>2387.54</v>
      </c>
      <c r="L7" s="259">
        <v>4396</v>
      </c>
      <c r="M7" s="259">
        <v>3080.91</v>
      </c>
    </row>
    <row r="8" spans="1:13" ht="31.5">
      <c r="A8" s="133" t="s">
        <v>2</v>
      </c>
      <c r="B8" s="128">
        <f>'Приложение №1'!J11</f>
        <v>24750.132000000001</v>
      </c>
      <c r="C8" s="129">
        <f>'Приложение №1'!O11</f>
        <v>35737.964</v>
      </c>
      <c r="D8" s="129">
        <f>'Приложение №1'!T11</f>
        <v>27557.308000000001</v>
      </c>
      <c r="E8" s="129">
        <f>'Приложение №1'!AC11</f>
        <v>27677.687999999998</v>
      </c>
      <c r="F8" s="129">
        <f>'Приложение №1'!AH11</f>
        <v>23775.526000000002</v>
      </c>
      <c r="G8" s="160">
        <f>'Приложение №1'!AM11</f>
        <v>25717.371999999999</v>
      </c>
      <c r="H8" s="259">
        <f>'Приложение №1'!BA11</f>
        <v>31962.547999999999</v>
      </c>
      <c r="I8" s="259">
        <f>'Приложение №1'!BF11</f>
        <v>28881.044000000002</v>
      </c>
      <c r="J8" s="259">
        <v>24798.639999999999</v>
      </c>
      <c r="K8" s="265">
        <v>24752.79</v>
      </c>
      <c r="L8" s="265">
        <v>26240.53</v>
      </c>
      <c r="M8" s="265">
        <v>30501.439999999999</v>
      </c>
    </row>
    <row r="9" spans="1:13" ht="43.5" customHeight="1">
      <c r="A9" s="134" t="s">
        <v>20</v>
      </c>
      <c r="B9" s="128">
        <f>'Приложение №1'!J12</f>
        <v>2675.8710000000001</v>
      </c>
      <c r="C9" s="129">
        <f>'Приложение №1'!O12</f>
        <v>1798.2570000000001</v>
      </c>
      <c r="D9" s="129">
        <f>'Приложение №1'!T12</f>
        <v>2329.62</v>
      </c>
      <c r="E9" s="129">
        <f>'Приложение №1'!AC12</f>
        <v>2395.8829999999998</v>
      </c>
      <c r="F9" s="129">
        <f>'Приложение №1'!AH12</f>
        <v>2598.319</v>
      </c>
      <c r="G9" s="160">
        <f>'Приложение №1'!AM12</f>
        <v>3345.1879999999996</v>
      </c>
      <c r="H9" s="259">
        <f>'Приложение №1'!BA12</f>
        <v>3529.1579999999999</v>
      </c>
      <c r="I9" s="259">
        <f>'Приложение №1'!BF12</f>
        <v>3013.9749999999999</v>
      </c>
      <c r="J9" s="259">
        <v>8699.7199999999993</v>
      </c>
      <c r="K9" s="265">
        <v>9019.5499999999993</v>
      </c>
      <c r="L9" s="265">
        <v>10191.74</v>
      </c>
      <c r="M9" s="265">
        <v>11637.48</v>
      </c>
    </row>
    <row r="10" spans="1:13" ht="24" customHeight="1">
      <c r="A10" s="135" t="s">
        <v>7</v>
      </c>
      <c r="B10" s="130">
        <f>SUM(B5:B9)</f>
        <v>68695.822</v>
      </c>
      <c r="C10" s="131">
        <f>SUM(C5:C9)</f>
        <v>80187.368000000002</v>
      </c>
      <c r="D10" s="361">
        <f>SUM(D5:D9)</f>
        <v>72156.044999999998</v>
      </c>
      <c r="E10" s="131">
        <f t="shared" ref="E10:M10" si="0">SUM(E5:E9)</f>
        <v>74705.005999999994</v>
      </c>
      <c r="F10" s="131">
        <f t="shared" si="0"/>
        <v>67505.845000000001</v>
      </c>
      <c r="G10" s="161">
        <f t="shared" si="0"/>
        <v>84158.940999999992</v>
      </c>
      <c r="H10" s="161">
        <f t="shared" si="0"/>
        <v>102459.768</v>
      </c>
      <c r="I10" s="161">
        <f t="shared" si="0"/>
        <v>88948.71100000001</v>
      </c>
      <c r="J10" s="161">
        <f t="shared" si="0"/>
        <v>74590.53</v>
      </c>
      <c r="K10" s="161">
        <f t="shared" si="0"/>
        <v>72352.570000000007</v>
      </c>
      <c r="L10" s="161">
        <f t="shared" si="0"/>
        <v>78194.14</v>
      </c>
      <c r="M10" s="161">
        <f t="shared" si="0"/>
        <v>85985.8</v>
      </c>
    </row>
    <row r="11" spans="1:13" ht="26.25" customHeight="1"/>
    <row r="17" spans="1:7" ht="30">
      <c r="A17" s="434" t="s">
        <v>11</v>
      </c>
      <c r="B17" s="434"/>
      <c r="C17" s="434"/>
      <c r="D17" s="434"/>
      <c r="E17" s="434"/>
      <c r="F17" s="434"/>
      <c r="G17" s="434"/>
    </row>
  </sheetData>
  <mergeCells count="3">
    <mergeCell ref="A17:G17"/>
    <mergeCell ref="D1:J1"/>
    <mergeCell ref="A3:M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16"/>
  <sheetViews>
    <sheetView view="pageBreakPreview" zoomScale="60" zoomScaleNormal="80" workbookViewId="0">
      <pane xSplit="1" ySplit="3" topLeftCell="B10" activePane="bottomRight" state="frozen"/>
      <selection pane="topRight" activeCell="B1" sqref="B1"/>
      <selection pane="bottomLeft" activeCell="A4" sqref="A4"/>
      <selection pane="bottomRight" activeCell="H16" sqref="H16"/>
    </sheetView>
  </sheetViews>
  <sheetFormatPr defaultRowHeight="15"/>
  <cols>
    <col min="1" max="1" width="38.5703125" customWidth="1"/>
    <col min="2" max="2" width="14.85546875" customWidth="1"/>
    <col min="3" max="3" width="11.7109375" customWidth="1"/>
    <col min="17" max="17" width="9.140625" customWidth="1"/>
  </cols>
  <sheetData>
    <row r="1" spans="1:14" ht="32.25" customHeight="1">
      <c r="K1" s="436" t="s">
        <v>105</v>
      </c>
      <c r="L1" s="437"/>
      <c r="M1" s="437"/>
      <c r="N1" s="437"/>
    </row>
    <row r="2" spans="1:14" ht="35.25" customHeight="1">
      <c r="A2" s="43"/>
      <c r="B2" s="95"/>
    </row>
    <row r="3" spans="1:14" ht="51.75" customHeight="1">
      <c r="A3" s="433" t="s">
        <v>93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  <c r="N3" s="433"/>
    </row>
    <row r="4" spans="1:14" ht="53.25" customHeight="1">
      <c r="A4" s="41" t="s">
        <v>0</v>
      </c>
      <c r="B4" s="44">
        <v>42705</v>
      </c>
      <c r="C4" s="44">
        <v>42736</v>
      </c>
      <c r="D4" s="44">
        <v>42767</v>
      </c>
      <c r="E4" s="44">
        <v>42795</v>
      </c>
      <c r="F4" s="44">
        <v>42826</v>
      </c>
      <c r="G4" s="44">
        <v>42856</v>
      </c>
      <c r="H4" s="44">
        <v>42887</v>
      </c>
      <c r="I4" s="44">
        <v>42917</v>
      </c>
      <c r="J4" s="44">
        <v>42948</v>
      </c>
      <c r="K4" s="44">
        <v>42979</v>
      </c>
      <c r="L4" s="44">
        <v>43009</v>
      </c>
      <c r="M4" s="44">
        <v>43040</v>
      </c>
      <c r="N4" s="44">
        <v>43070</v>
      </c>
    </row>
    <row r="5" spans="1:14" ht="53.25" customHeight="1">
      <c r="A5" s="145" t="s">
        <v>13</v>
      </c>
      <c r="B5" s="23">
        <f>'Приложение №1'!I8</f>
        <v>4.9974005243236586E-2</v>
      </c>
      <c r="C5" s="23">
        <f>'Приложение №1'!N8</f>
        <v>0.23215676784535746</v>
      </c>
      <c r="D5" s="146">
        <v>7.0000000000000007E-2</v>
      </c>
      <c r="E5" s="146">
        <v>7.0000000000000007E-2</v>
      </c>
      <c r="F5" s="146">
        <v>0.09</v>
      </c>
      <c r="G5" s="146">
        <v>0.09</v>
      </c>
      <c r="H5" s="146">
        <v>0.12</v>
      </c>
      <c r="I5" s="146">
        <v>0.14000000000000001</v>
      </c>
      <c r="J5" s="146">
        <v>0.11</v>
      </c>
      <c r="K5" s="146">
        <v>0.1</v>
      </c>
      <c r="L5" s="146">
        <v>0.14000000000000001</v>
      </c>
      <c r="M5" s="146">
        <v>0.34</v>
      </c>
      <c r="N5" s="146">
        <v>0.13</v>
      </c>
    </row>
    <row r="6" spans="1:14" ht="44.25" customHeight="1">
      <c r="A6" s="145" t="s">
        <v>21</v>
      </c>
      <c r="B6" s="23">
        <f>'Приложение №1'!I9</f>
        <v>53.709035070182743</v>
      </c>
      <c r="C6" s="23">
        <f>'Приложение №1'!N9</f>
        <v>53.791341196848904</v>
      </c>
      <c r="D6" s="146">
        <v>53.44</v>
      </c>
      <c r="E6" s="146">
        <v>57.17</v>
      </c>
      <c r="F6" s="146">
        <v>58.99</v>
      </c>
      <c r="G6" s="146">
        <v>63.13</v>
      </c>
      <c r="H6" s="146">
        <v>59.2</v>
      </c>
      <c r="I6" s="146">
        <v>50.98</v>
      </c>
      <c r="J6" s="146">
        <v>68.98</v>
      </c>
      <c r="K6" s="146">
        <v>58.86</v>
      </c>
      <c r="L6" s="146">
        <v>60.9</v>
      </c>
      <c r="M6" s="146">
        <v>58.36</v>
      </c>
      <c r="N6" s="146">
        <v>59.49</v>
      </c>
    </row>
    <row r="7" spans="1:14" ht="82.5" customHeight="1">
      <c r="A7" s="145" t="s">
        <v>1</v>
      </c>
      <c r="B7" s="23">
        <f>'Приложение №1'!I10</f>
        <v>6.2250055441200267</v>
      </c>
      <c r="C7" s="23">
        <f>'Приложение №1'!N10</f>
        <v>6.0526723153556556</v>
      </c>
      <c r="D7" s="146">
        <v>3.38</v>
      </c>
      <c r="E7" s="146">
        <v>3.22</v>
      </c>
      <c r="F7" s="146">
        <v>4.2300000000000004</v>
      </c>
      <c r="G7" s="146">
        <v>2.62</v>
      </c>
      <c r="H7" s="146">
        <v>5.82</v>
      </c>
      <c r="I7" s="146">
        <v>3.48</v>
      </c>
      <c r="J7" s="146">
        <v>6.31</v>
      </c>
      <c r="K7" s="146">
        <v>5.72</v>
      </c>
      <c r="L7" s="146">
        <v>6.24</v>
      </c>
      <c r="M7" s="146">
        <v>3.29</v>
      </c>
      <c r="N7" s="146">
        <v>3.9</v>
      </c>
    </row>
    <row r="8" spans="1:14" ht="33" customHeight="1">
      <c r="A8" s="145" t="s">
        <v>2</v>
      </c>
      <c r="B8" s="23">
        <f>'Приложение №1'!I11</f>
        <v>38.224735887073116</v>
      </c>
      <c r="C8" s="23">
        <f>'Приложение №1'!N11</f>
        <v>36.028584096424382</v>
      </c>
      <c r="D8" s="146">
        <v>40.380000000000003</v>
      </c>
      <c r="E8" s="146">
        <v>36.79</v>
      </c>
      <c r="F8" s="146">
        <v>35.020000000000003</v>
      </c>
      <c r="G8" s="146">
        <v>29.93</v>
      </c>
      <c r="H8" s="146">
        <v>31.1</v>
      </c>
      <c r="I8" s="146">
        <v>42.24</v>
      </c>
      <c r="J8" s="146">
        <v>19.329999999999998</v>
      </c>
      <c r="K8" s="146">
        <v>28.61</v>
      </c>
      <c r="L8" s="146">
        <v>29.18</v>
      </c>
      <c r="M8" s="146">
        <v>35.229999999999997</v>
      </c>
      <c r="N8" s="146">
        <v>33.21</v>
      </c>
    </row>
    <row r="9" spans="1:14" ht="33.75" customHeight="1">
      <c r="A9" s="145" t="s">
        <v>20</v>
      </c>
      <c r="B9" s="23">
        <f>'Приложение №1'!I12</f>
        <v>1.7912494933808656</v>
      </c>
      <c r="C9" s="23">
        <f>'Приложение №1'!N12</f>
        <v>3.8952456235256929</v>
      </c>
      <c r="D9" s="146">
        <v>2.73</v>
      </c>
      <c r="E9" s="146">
        <v>2.75</v>
      </c>
      <c r="F9" s="146">
        <v>1.67</v>
      </c>
      <c r="G9" s="146">
        <v>4.2300000000000004</v>
      </c>
      <c r="H9" s="146">
        <v>3.76</v>
      </c>
      <c r="I9" s="146">
        <v>3.16</v>
      </c>
      <c r="J9" s="146">
        <v>5.27</v>
      </c>
      <c r="K9" s="146">
        <v>6.71</v>
      </c>
      <c r="L9" s="146">
        <v>3.54</v>
      </c>
      <c r="M9" s="146">
        <v>2.78</v>
      </c>
      <c r="N9" s="146">
        <v>3.27</v>
      </c>
    </row>
    <row r="10" spans="1:14" ht="55.5" customHeight="1">
      <c r="A10" s="145" t="s">
        <v>7</v>
      </c>
      <c r="B10" s="111">
        <f t="shared" ref="B10:G10" si="0">SUM(B5:B9)</f>
        <v>99.999999999999972</v>
      </c>
      <c r="C10" s="111">
        <f t="shared" si="0"/>
        <v>100</v>
      </c>
      <c r="D10" s="146">
        <f t="shared" si="0"/>
        <v>100.00000000000001</v>
      </c>
      <c r="E10" s="146">
        <f t="shared" si="0"/>
        <v>100</v>
      </c>
      <c r="F10" s="146">
        <f t="shared" si="0"/>
        <v>100.00000000000001</v>
      </c>
      <c r="G10" s="146">
        <f t="shared" si="0"/>
        <v>100.00000000000001</v>
      </c>
      <c r="H10" s="146">
        <f>SUM(H5:H9)</f>
        <v>100.00000000000001</v>
      </c>
      <c r="I10" s="146">
        <f>SUM(I5:I9)</f>
        <v>100</v>
      </c>
      <c r="J10" s="146">
        <f>SUM(J5:J9)</f>
        <v>100</v>
      </c>
      <c r="K10" s="146">
        <f t="shared" ref="K10:N10" si="1">SUM(K5:K9)</f>
        <v>100</v>
      </c>
      <c r="L10" s="146">
        <f t="shared" si="1"/>
        <v>100.00000000000001</v>
      </c>
      <c r="M10" s="146">
        <f t="shared" si="1"/>
        <v>100</v>
      </c>
      <c r="N10" s="146">
        <f t="shared" si="1"/>
        <v>100</v>
      </c>
    </row>
    <row r="16" spans="1:14" ht="30">
      <c r="J16" s="172" t="s">
        <v>105</v>
      </c>
      <c r="K16" s="172"/>
      <c r="L16" s="172"/>
      <c r="M16" s="172"/>
      <c r="N16" s="172"/>
    </row>
  </sheetData>
  <mergeCells count="2">
    <mergeCell ref="A3:N3"/>
    <mergeCell ref="K1:N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"/>
  <sheetViews>
    <sheetView workbookViewId="0">
      <selection activeCell="G6" sqref="G6"/>
    </sheetView>
  </sheetViews>
  <sheetFormatPr defaultRowHeight="15"/>
  <cols>
    <col min="1" max="1" width="43.140625" customWidth="1"/>
    <col min="2" max="2" width="16" customWidth="1"/>
    <col min="3" max="3" width="19.85546875" customWidth="1"/>
    <col min="4" max="9" width="14.7109375" customWidth="1"/>
    <col min="10" max="10" width="17.7109375" customWidth="1"/>
    <col min="11" max="11" width="17.85546875" customWidth="1"/>
    <col min="12" max="12" width="14.7109375" customWidth="1"/>
    <col min="13" max="13" width="14.5703125" customWidth="1"/>
    <col min="14" max="14" width="13.5703125" customWidth="1"/>
    <col min="15" max="16" width="13.140625" customWidth="1"/>
    <col min="17" max="17" width="13" customWidth="1"/>
    <col min="18" max="18" width="13.7109375" customWidth="1"/>
    <col min="19" max="19" width="13.42578125" customWidth="1"/>
    <col min="20" max="20" width="14.42578125" customWidth="1"/>
  </cols>
  <sheetData>
    <row r="1" spans="1:20" ht="15.75" customHeight="1">
      <c r="A1" s="43"/>
      <c r="B1" s="43"/>
      <c r="C1" s="43"/>
      <c r="D1" s="438" t="s">
        <v>11</v>
      </c>
      <c r="E1" s="439"/>
      <c r="F1" s="439"/>
      <c r="G1" s="439"/>
      <c r="H1" s="76"/>
      <c r="I1" s="82"/>
    </row>
    <row r="2" spans="1:20" ht="36.75" customHeight="1">
      <c r="A2" s="378" t="s">
        <v>41</v>
      </c>
      <c r="B2" s="440"/>
      <c r="C2" s="440"/>
      <c r="D2" s="440"/>
      <c r="E2" s="440"/>
      <c r="F2" s="440"/>
      <c r="G2" s="440"/>
      <c r="H2" s="81"/>
      <c r="I2" s="81"/>
    </row>
    <row r="3" spans="1:20" ht="95.25" customHeight="1">
      <c r="A3" s="42"/>
      <c r="B3" s="45">
        <v>41974</v>
      </c>
      <c r="C3" s="44">
        <v>42005</v>
      </c>
      <c r="D3" s="44">
        <v>42036</v>
      </c>
      <c r="E3" s="44">
        <v>42064</v>
      </c>
      <c r="F3" s="44">
        <v>42095</v>
      </c>
      <c r="G3" s="44">
        <v>42125</v>
      </c>
      <c r="H3" s="44">
        <v>42156</v>
      </c>
      <c r="I3" s="44">
        <v>42186</v>
      </c>
      <c r="J3" s="44" t="s">
        <v>28</v>
      </c>
      <c r="K3" s="44" t="s">
        <v>29</v>
      </c>
      <c r="L3" s="44" t="s">
        <v>30</v>
      </c>
      <c r="M3" s="44" t="s">
        <v>31</v>
      </c>
      <c r="N3" s="44" t="s">
        <v>35</v>
      </c>
      <c r="O3" s="44" t="s">
        <v>37</v>
      </c>
      <c r="P3" s="44" t="s">
        <v>38</v>
      </c>
      <c r="Q3" s="44" t="s">
        <v>39</v>
      </c>
      <c r="R3" s="44" t="s">
        <v>40</v>
      </c>
      <c r="S3" s="44" t="s">
        <v>43</v>
      </c>
      <c r="T3" s="44" t="s">
        <v>44</v>
      </c>
    </row>
    <row r="4" spans="1:20" ht="31.5">
      <c r="A4" s="31" t="s">
        <v>13</v>
      </c>
      <c r="B4" s="51" t="e">
        <f>#REF!</f>
        <v>#REF!</v>
      </c>
      <c r="C4" s="46" t="e">
        <f>#REF!</f>
        <v>#REF!</v>
      </c>
      <c r="D4" s="46" t="e">
        <f>#REF!</f>
        <v>#REF!</v>
      </c>
      <c r="E4" s="47" t="e">
        <f>#REF!</f>
        <v>#REF!</v>
      </c>
      <c r="F4" s="47" t="e">
        <f>#REF!</f>
        <v>#REF!</v>
      </c>
      <c r="G4" s="47" t="e">
        <f>#REF!</f>
        <v>#REF!</v>
      </c>
      <c r="H4" s="47" t="e">
        <f>#REF!</f>
        <v>#REF!</v>
      </c>
      <c r="I4" s="47"/>
      <c r="J4" s="47" t="e">
        <f>C4/B4*100</f>
        <v>#REF!</v>
      </c>
      <c r="K4" s="47" t="e">
        <f>D4/C4*100</f>
        <v>#REF!</v>
      </c>
      <c r="L4" s="47" t="e">
        <f>E4/D4*100</f>
        <v>#REF!</v>
      </c>
      <c r="M4" s="20" t="e">
        <f>F4/E4*100</f>
        <v>#REF!</v>
      </c>
      <c r="N4" s="47" t="e">
        <f t="shared" ref="N4:N9" si="0">F4/B4*100</f>
        <v>#REF!</v>
      </c>
      <c r="O4" s="20" t="e">
        <f t="shared" ref="O4:O9" si="1">G4/F4*100</f>
        <v>#REF!</v>
      </c>
      <c r="P4" s="47" t="e">
        <f t="shared" ref="P4:P9" si="2">G4/B4*100</f>
        <v>#REF!</v>
      </c>
      <c r="Q4" s="47" t="e">
        <f t="shared" ref="Q4:Q9" si="3">H4/G4*100</f>
        <v>#REF!</v>
      </c>
      <c r="R4" s="47" t="e">
        <f t="shared" ref="R4:R9" si="4">H4/B4*100</f>
        <v>#REF!</v>
      </c>
    </row>
    <row r="5" spans="1:20" ht="47.25">
      <c r="A5" s="32" t="s">
        <v>21</v>
      </c>
      <c r="B5" s="52" t="e">
        <f>#REF!</f>
        <v>#REF!</v>
      </c>
      <c r="C5" s="46" t="e">
        <f>#REF!</f>
        <v>#REF!</v>
      </c>
      <c r="D5" s="46" t="e">
        <f>#REF!</f>
        <v>#REF!</v>
      </c>
      <c r="E5" s="47" t="e">
        <f>#REF!</f>
        <v>#REF!</v>
      </c>
      <c r="F5" s="47" t="e">
        <f>#REF!</f>
        <v>#REF!</v>
      </c>
      <c r="G5" s="47" t="e">
        <f>#REF!</f>
        <v>#REF!</v>
      </c>
      <c r="H5" s="47" t="e">
        <f>#REF!</f>
        <v>#REF!</v>
      </c>
      <c r="I5" s="47"/>
      <c r="J5" s="47" t="e">
        <f t="shared" ref="J5:M9" si="5">C5/B5*100</f>
        <v>#REF!</v>
      </c>
      <c r="K5" s="47" t="e">
        <f t="shared" si="5"/>
        <v>#REF!</v>
      </c>
      <c r="L5" s="47" t="e">
        <f t="shared" si="5"/>
        <v>#REF!</v>
      </c>
      <c r="M5" s="47" t="e">
        <f t="shared" si="5"/>
        <v>#REF!</v>
      </c>
      <c r="N5" s="47" t="e">
        <f t="shared" si="0"/>
        <v>#REF!</v>
      </c>
      <c r="O5" s="20" t="e">
        <f t="shared" si="1"/>
        <v>#REF!</v>
      </c>
      <c r="P5" s="47" t="e">
        <f t="shared" si="2"/>
        <v>#REF!</v>
      </c>
      <c r="Q5" s="47" t="e">
        <f t="shared" si="3"/>
        <v>#REF!</v>
      </c>
      <c r="R5" s="47" t="e">
        <f t="shared" si="4"/>
        <v>#REF!</v>
      </c>
    </row>
    <row r="6" spans="1:20" ht="63">
      <c r="A6" s="31" t="s">
        <v>1</v>
      </c>
      <c r="B6" s="51" t="e">
        <f>#REF!</f>
        <v>#REF!</v>
      </c>
      <c r="C6" s="46" t="e">
        <f>#REF!</f>
        <v>#REF!</v>
      </c>
      <c r="D6" s="46" t="e">
        <f>#REF!</f>
        <v>#REF!</v>
      </c>
      <c r="E6" s="47" t="e">
        <f>#REF!</f>
        <v>#REF!</v>
      </c>
      <c r="F6" s="47" t="e">
        <f>#REF!</f>
        <v>#REF!</v>
      </c>
      <c r="G6" s="47" t="e">
        <f>#REF!</f>
        <v>#REF!</v>
      </c>
      <c r="H6" s="47" t="e">
        <f>#REF!</f>
        <v>#REF!</v>
      </c>
      <c r="I6" s="47"/>
      <c r="J6" s="47" t="e">
        <f t="shared" si="5"/>
        <v>#REF!</v>
      </c>
      <c r="K6" s="47" t="e">
        <f t="shared" si="5"/>
        <v>#REF!</v>
      </c>
      <c r="L6" s="47" t="e">
        <f t="shared" si="5"/>
        <v>#REF!</v>
      </c>
      <c r="M6" s="47" t="e">
        <f t="shared" si="5"/>
        <v>#REF!</v>
      </c>
      <c r="N6" s="47" t="e">
        <f t="shared" si="0"/>
        <v>#REF!</v>
      </c>
      <c r="O6" s="20" t="e">
        <f t="shared" si="1"/>
        <v>#REF!</v>
      </c>
      <c r="P6" s="47" t="e">
        <f t="shared" si="2"/>
        <v>#REF!</v>
      </c>
      <c r="Q6" s="47" t="e">
        <f t="shared" si="3"/>
        <v>#REF!</v>
      </c>
      <c r="R6" s="47" t="e">
        <f t="shared" si="4"/>
        <v>#REF!</v>
      </c>
    </row>
    <row r="7" spans="1:20" ht="31.5">
      <c r="A7" s="31" t="s">
        <v>2</v>
      </c>
      <c r="B7" s="69" t="e">
        <f>#REF!</f>
        <v>#REF!</v>
      </c>
      <c r="C7" s="46" t="e">
        <f>#REF!</f>
        <v>#REF!</v>
      </c>
      <c r="D7" s="46" t="e">
        <f>#REF!</f>
        <v>#REF!</v>
      </c>
      <c r="E7" s="46" t="e">
        <f>#REF!</f>
        <v>#REF!</v>
      </c>
      <c r="F7" s="21" t="e">
        <f>#REF!</f>
        <v>#REF!</v>
      </c>
      <c r="G7" s="47" t="e">
        <f>#REF!</f>
        <v>#REF!</v>
      </c>
      <c r="H7" s="47" t="e">
        <f>#REF!</f>
        <v>#REF!</v>
      </c>
      <c r="I7" s="47"/>
      <c r="J7" s="47" t="e">
        <f t="shared" si="5"/>
        <v>#REF!</v>
      </c>
      <c r="K7" s="47" t="e">
        <f t="shared" si="5"/>
        <v>#REF!</v>
      </c>
      <c r="L7" s="47" t="e">
        <f t="shared" si="5"/>
        <v>#REF!</v>
      </c>
      <c r="M7" s="47" t="e">
        <f t="shared" si="5"/>
        <v>#REF!</v>
      </c>
      <c r="N7" s="47" t="e">
        <f t="shared" si="0"/>
        <v>#REF!</v>
      </c>
      <c r="O7" s="20" t="e">
        <f t="shared" si="1"/>
        <v>#REF!</v>
      </c>
      <c r="P7" s="47" t="e">
        <f t="shared" si="2"/>
        <v>#REF!</v>
      </c>
      <c r="Q7" s="47" t="e">
        <f t="shared" si="3"/>
        <v>#REF!</v>
      </c>
      <c r="R7" s="47" t="e">
        <f t="shared" si="4"/>
        <v>#REF!</v>
      </c>
    </row>
    <row r="8" spans="1:20" ht="31.5">
      <c r="A8" s="33" t="s">
        <v>20</v>
      </c>
      <c r="B8" s="70" t="e">
        <f>#REF!</f>
        <v>#REF!</v>
      </c>
      <c r="C8" s="46" t="e">
        <f>#REF!</f>
        <v>#REF!</v>
      </c>
      <c r="D8" s="46" t="e">
        <f>#REF!</f>
        <v>#REF!</v>
      </c>
      <c r="E8" s="47" t="e">
        <f>#REF!</f>
        <v>#REF!</v>
      </c>
      <c r="F8" s="20" t="e">
        <f>#REF!</f>
        <v>#REF!</v>
      </c>
      <c r="G8" s="47" t="e">
        <f>#REF!</f>
        <v>#REF!</v>
      </c>
      <c r="H8" s="47" t="e">
        <f>#REF!</f>
        <v>#REF!</v>
      </c>
      <c r="I8" s="47"/>
      <c r="J8" s="47" t="e">
        <f t="shared" si="5"/>
        <v>#REF!</v>
      </c>
      <c r="K8" s="47" t="e">
        <f t="shared" si="5"/>
        <v>#REF!</v>
      </c>
      <c r="L8" s="47" t="e">
        <f t="shared" si="5"/>
        <v>#REF!</v>
      </c>
      <c r="M8" s="47" t="e">
        <f t="shared" si="5"/>
        <v>#REF!</v>
      </c>
      <c r="N8" s="47" t="e">
        <f t="shared" si="0"/>
        <v>#REF!</v>
      </c>
      <c r="O8" s="20" t="e">
        <f t="shared" si="1"/>
        <v>#REF!</v>
      </c>
      <c r="P8" s="20" t="e">
        <f t="shared" si="2"/>
        <v>#REF!</v>
      </c>
      <c r="Q8" s="47" t="e">
        <f t="shared" si="3"/>
        <v>#REF!</v>
      </c>
      <c r="R8" s="47" t="e">
        <f t="shared" si="4"/>
        <v>#REF!</v>
      </c>
    </row>
    <row r="9" spans="1:20" ht="18.75" customHeight="1">
      <c r="A9" s="18" t="s">
        <v>7</v>
      </c>
      <c r="B9" s="60" t="e">
        <f>B4+B5+B6+B7+B8</f>
        <v>#REF!</v>
      </c>
      <c r="C9" s="48" t="e">
        <f t="shared" ref="C9:H9" si="6">SUM(C4:C8)</f>
        <v>#REF!</v>
      </c>
      <c r="D9" s="48" t="e">
        <f t="shared" si="6"/>
        <v>#REF!</v>
      </c>
      <c r="E9" s="48" t="e">
        <f t="shared" si="6"/>
        <v>#REF!</v>
      </c>
      <c r="F9" s="48" t="e">
        <f t="shared" si="6"/>
        <v>#REF!</v>
      </c>
      <c r="G9" s="48" t="e">
        <f t="shared" si="6"/>
        <v>#REF!</v>
      </c>
      <c r="H9" s="48" t="e">
        <f t="shared" si="6"/>
        <v>#REF!</v>
      </c>
      <c r="I9" s="48"/>
      <c r="J9" s="47" t="e">
        <f t="shared" si="5"/>
        <v>#REF!</v>
      </c>
      <c r="K9" s="47" t="e">
        <f t="shared" si="5"/>
        <v>#REF!</v>
      </c>
      <c r="L9" s="47" t="e">
        <f t="shared" si="5"/>
        <v>#REF!</v>
      </c>
      <c r="M9" s="47" t="e">
        <f t="shared" si="5"/>
        <v>#REF!</v>
      </c>
      <c r="N9" s="47" t="e">
        <f t="shared" si="0"/>
        <v>#REF!</v>
      </c>
      <c r="O9" s="20" t="e">
        <f t="shared" si="1"/>
        <v>#REF!</v>
      </c>
      <c r="P9" s="47" t="e">
        <f t="shared" si="2"/>
        <v>#REF!</v>
      </c>
      <c r="Q9" s="47" t="e">
        <f t="shared" si="3"/>
        <v>#REF!</v>
      </c>
      <c r="R9" s="47" t="e">
        <f t="shared" si="4"/>
        <v>#REF!</v>
      </c>
    </row>
    <row r="10" spans="1:20" ht="24" customHeight="1"/>
    <row r="11" spans="1:20" ht="70.5" customHeight="1">
      <c r="A11" s="1" t="s">
        <v>14</v>
      </c>
      <c r="E11" s="441" t="s">
        <v>15</v>
      </c>
      <c r="F11" s="442"/>
      <c r="G11" s="442"/>
      <c r="H11" s="77"/>
      <c r="I11" s="83"/>
    </row>
    <row r="12" spans="1:20" ht="26.25" customHeight="1">
      <c r="D12" s="438" t="s">
        <v>11</v>
      </c>
      <c r="E12" s="438"/>
      <c r="F12" s="438"/>
      <c r="G12" s="74"/>
      <c r="H12" s="80"/>
      <c r="I12" s="84"/>
      <c r="P12" s="67"/>
    </row>
    <row r="13" spans="1:20">
      <c r="M13" s="67"/>
    </row>
  </sheetData>
  <mergeCells count="4">
    <mergeCell ref="D12:F12"/>
    <mergeCell ref="D1:G1"/>
    <mergeCell ref="A2:G2"/>
    <mergeCell ref="E11:G1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topLeftCell="B1" workbookViewId="0">
      <selection activeCell="B1" sqref="A1:XFD1048576"/>
    </sheetView>
  </sheetViews>
  <sheetFormatPr defaultRowHeight="15"/>
  <cols>
    <col min="1" max="1" width="43.140625" customWidth="1"/>
    <col min="2" max="2" width="16" customWidth="1"/>
    <col min="3" max="3" width="19.85546875" customWidth="1"/>
    <col min="4" max="9" width="14.7109375" customWidth="1"/>
    <col min="10" max="10" width="17.7109375" customWidth="1"/>
    <col min="11" max="11" width="17.85546875" customWidth="1"/>
    <col min="12" max="12" width="14.7109375" customWidth="1"/>
    <col min="13" max="13" width="14.5703125" customWidth="1"/>
    <col min="14" max="14" width="13.5703125" customWidth="1"/>
    <col min="15" max="16" width="13.140625" customWidth="1"/>
    <col min="17" max="17" width="13" customWidth="1"/>
    <col min="18" max="18" width="13.7109375" customWidth="1"/>
    <col min="19" max="19" width="13.42578125" customWidth="1"/>
    <col min="20" max="20" width="14.42578125" customWidth="1"/>
  </cols>
  <sheetData>
    <row r="1" spans="1:20" ht="15.75" customHeight="1">
      <c r="A1" s="43"/>
      <c r="B1" s="43"/>
      <c r="C1" s="43"/>
      <c r="F1" s="88"/>
      <c r="G1" s="87"/>
      <c r="H1" s="443" t="s">
        <v>11</v>
      </c>
      <c r="I1" s="443"/>
    </row>
    <row r="2" spans="1:20" ht="36.75" customHeight="1">
      <c r="A2" s="378" t="s">
        <v>41</v>
      </c>
      <c r="B2" s="440"/>
      <c r="C2" s="440"/>
      <c r="D2" s="440"/>
      <c r="E2" s="440"/>
      <c r="F2" s="440"/>
      <c r="G2" s="440"/>
      <c r="H2" s="81"/>
      <c r="I2" s="81"/>
    </row>
    <row r="3" spans="1:20" ht="95.25" customHeight="1">
      <c r="A3" s="42"/>
      <c r="B3" s="45">
        <v>41974</v>
      </c>
      <c r="C3" s="44">
        <v>42005</v>
      </c>
      <c r="D3" s="44">
        <v>42036</v>
      </c>
      <c r="E3" s="44">
        <v>42064</v>
      </c>
      <c r="F3" s="44">
        <v>42095</v>
      </c>
      <c r="G3" s="44">
        <v>42125</v>
      </c>
      <c r="H3" s="44">
        <v>42156</v>
      </c>
      <c r="I3" s="44">
        <v>42186</v>
      </c>
      <c r="J3" s="44" t="s">
        <v>28</v>
      </c>
      <c r="K3" s="44" t="s">
        <v>29</v>
      </c>
      <c r="L3" s="44" t="s">
        <v>30</v>
      </c>
      <c r="M3" s="44" t="s">
        <v>31</v>
      </c>
      <c r="N3" s="44" t="s">
        <v>35</v>
      </c>
      <c r="O3" s="44" t="s">
        <v>37</v>
      </c>
      <c r="P3" s="44" t="s">
        <v>38</v>
      </c>
      <c r="Q3" s="44" t="s">
        <v>39</v>
      </c>
      <c r="R3" s="44" t="s">
        <v>40</v>
      </c>
      <c r="S3" s="44" t="s">
        <v>43</v>
      </c>
      <c r="T3" s="44" t="s">
        <v>44</v>
      </c>
    </row>
    <row r="4" spans="1:20" ht="31.5">
      <c r="A4" s="31" t="s">
        <v>13</v>
      </c>
      <c r="B4" s="51" t="e">
        <f>#REF!</f>
        <v>#REF!</v>
      </c>
      <c r="C4" s="46" t="e">
        <f>#REF!</f>
        <v>#REF!</v>
      </c>
      <c r="D4" s="46" t="e">
        <f>#REF!</f>
        <v>#REF!</v>
      </c>
      <c r="E4" s="47" t="e">
        <f>#REF!</f>
        <v>#REF!</v>
      </c>
      <c r="F4" s="47" t="e">
        <f>#REF!</f>
        <v>#REF!</v>
      </c>
      <c r="G4" s="47" t="e">
        <f>#REF!</f>
        <v>#REF!</v>
      </c>
      <c r="H4" s="47" t="e">
        <f>#REF!</f>
        <v>#REF!</v>
      </c>
      <c r="I4" s="47" t="e">
        <f>#REF!</f>
        <v>#REF!</v>
      </c>
      <c r="J4" s="47" t="e">
        <f>C4/B4*100</f>
        <v>#REF!</v>
      </c>
      <c r="K4" s="47" t="e">
        <f>D4/C4*100</f>
        <v>#REF!</v>
      </c>
      <c r="L4" s="47" t="e">
        <f>E4/D4*100</f>
        <v>#REF!</v>
      </c>
      <c r="M4" s="20" t="e">
        <f>F4/E4*100</f>
        <v>#REF!</v>
      </c>
      <c r="N4" s="47" t="e">
        <f t="shared" ref="N4:N9" si="0">F4/B4*100</f>
        <v>#REF!</v>
      </c>
      <c r="O4" s="20" t="e">
        <f t="shared" ref="O4:O9" si="1">G4/F4*100</f>
        <v>#REF!</v>
      </c>
      <c r="P4" s="47" t="e">
        <f t="shared" ref="P4:P9" si="2">G4/B4*100</f>
        <v>#REF!</v>
      </c>
      <c r="Q4" s="47" t="e">
        <f t="shared" ref="Q4:Q9" si="3">H4/G4*100</f>
        <v>#REF!</v>
      </c>
      <c r="R4" s="47" t="e">
        <f t="shared" ref="R4:R9" si="4">H4/B4*100</f>
        <v>#REF!</v>
      </c>
      <c r="S4" s="47" t="e">
        <f t="shared" ref="S4:S9" si="5">I4/H4*100</f>
        <v>#REF!</v>
      </c>
      <c r="T4" s="47" t="e">
        <f t="shared" ref="T4:T9" si="6">I4/B4*100</f>
        <v>#REF!</v>
      </c>
    </row>
    <row r="5" spans="1:20" ht="47.25">
      <c r="A5" s="32" t="s">
        <v>21</v>
      </c>
      <c r="B5" s="52" t="e">
        <f>#REF!</f>
        <v>#REF!</v>
      </c>
      <c r="C5" s="46" t="e">
        <f>#REF!</f>
        <v>#REF!</v>
      </c>
      <c r="D5" s="46" t="e">
        <f>#REF!</f>
        <v>#REF!</v>
      </c>
      <c r="E5" s="47" t="e">
        <f>#REF!</f>
        <v>#REF!</v>
      </c>
      <c r="F5" s="47" t="e">
        <f>#REF!</f>
        <v>#REF!</v>
      </c>
      <c r="G5" s="47" t="e">
        <f>#REF!</f>
        <v>#REF!</v>
      </c>
      <c r="H5" s="47" t="e">
        <f>#REF!</f>
        <v>#REF!</v>
      </c>
      <c r="I5" s="47" t="e">
        <f>#REF!</f>
        <v>#REF!</v>
      </c>
      <c r="J5" s="47" t="e">
        <f t="shared" ref="J5:M9" si="7">C5/B5*100</f>
        <v>#REF!</v>
      </c>
      <c r="K5" s="47" t="e">
        <f t="shared" si="7"/>
        <v>#REF!</v>
      </c>
      <c r="L5" s="47" t="e">
        <f t="shared" si="7"/>
        <v>#REF!</v>
      </c>
      <c r="M5" s="47" t="e">
        <f t="shared" si="7"/>
        <v>#REF!</v>
      </c>
      <c r="N5" s="47" t="e">
        <f t="shared" si="0"/>
        <v>#REF!</v>
      </c>
      <c r="O5" s="20" t="e">
        <f t="shared" si="1"/>
        <v>#REF!</v>
      </c>
      <c r="P5" s="47" t="e">
        <f t="shared" si="2"/>
        <v>#REF!</v>
      </c>
      <c r="Q5" s="47" t="e">
        <f t="shared" si="3"/>
        <v>#REF!</v>
      </c>
      <c r="R5" s="47" t="e">
        <f t="shared" si="4"/>
        <v>#REF!</v>
      </c>
      <c r="S5" s="47" t="e">
        <f t="shared" si="5"/>
        <v>#REF!</v>
      </c>
      <c r="T5" s="47" t="e">
        <f t="shared" si="6"/>
        <v>#REF!</v>
      </c>
    </row>
    <row r="6" spans="1:20" ht="63">
      <c r="A6" s="31" t="s">
        <v>1</v>
      </c>
      <c r="B6" s="51" t="e">
        <f>#REF!</f>
        <v>#REF!</v>
      </c>
      <c r="C6" s="46" t="e">
        <f>#REF!</f>
        <v>#REF!</v>
      </c>
      <c r="D6" s="46" t="e">
        <f>#REF!</f>
        <v>#REF!</v>
      </c>
      <c r="E6" s="47" t="e">
        <f>#REF!</f>
        <v>#REF!</v>
      </c>
      <c r="F6" s="47" t="e">
        <f>#REF!</f>
        <v>#REF!</v>
      </c>
      <c r="G6" s="47" t="e">
        <f>#REF!</f>
        <v>#REF!</v>
      </c>
      <c r="H6" s="47" t="e">
        <f>#REF!</f>
        <v>#REF!</v>
      </c>
      <c r="I6" s="47" t="e">
        <f>#REF!</f>
        <v>#REF!</v>
      </c>
      <c r="J6" s="47" t="e">
        <f t="shared" si="7"/>
        <v>#REF!</v>
      </c>
      <c r="K6" s="47" t="e">
        <f t="shared" si="7"/>
        <v>#REF!</v>
      </c>
      <c r="L6" s="47" t="e">
        <f t="shared" si="7"/>
        <v>#REF!</v>
      </c>
      <c r="M6" s="47" t="e">
        <f t="shared" si="7"/>
        <v>#REF!</v>
      </c>
      <c r="N6" s="47" t="e">
        <f t="shared" si="0"/>
        <v>#REF!</v>
      </c>
      <c r="O6" s="20" t="e">
        <f t="shared" si="1"/>
        <v>#REF!</v>
      </c>
      <c r="P6" s="47" t="e">
        <f t="shared" si="2"/>
        <v>#REF!</v>
      </c>
      <c r="Q6" s="47" t="e">
        <f t="shared" si="3"/>
        <v>#REF!</v>
      </c>
      <c r="R6" s="47" t="e">
        <f t="shared" si="4"/>
        <v>#REF!</v>
      </c>
      <c r="S6" s="47" t="e">
        <f t="shared" si="5"/>
        <v>#REF!</v>
      </c>
      <c r="T6" s="47" t="e">
        <f t="shared" si="6"/>
        <v>#REF!</v>
      </c>
    </row>
    <row r="7" spans="1:20" ht="31.5">
      <c r="A7" s="31" t="s">
        <v>2</v>
      </c>
      <c r="B7" s="69" t="e">
        <f>#REF!</f>
        <v>#REF!</v>
      </c>
      <c r="C7" s="46" t="e">
        <f>#REF!</f>
        <v>#REF!</v>
      </c>
      <c r="D7" s="46" t="e">
        <f>#REF!</f>
        <v>#REF!</v>
      </c>
      <c r="E7" s="46" t="e">
        <f>#REF!</f>
        <v>#REF!</v>
      </c>
      <c r="F7" s="21" t="e">
        <f>#REF!</f>
        <v>#REF!</v>
      </c>
      <c r="G7" s="47" t="e">
        <f>#REF!</f>
        <v>#REF!</v>
      </c>
      <c r="H7" s="47" t="e">
        <f>#REF!</f>
        <v>#REF!</v>
      </c>
      <c r="I7" s="47" t="e">
        <f>#REF!</f>
        <v>#REF!</v>
      </c>
      <c r="J7" s="47" t="e">
        <f t="shared" si="7"/>
        <v>#REF!</v>
      </c>
      <c r="K7" s="47" t="e">
        <f t="shared" si="7"/>
        <v>#REF!</v>
      </c>
      <c r="L7" s="47" t="e">
        <f t="shared" si="7"/>
        <v>#REF!</v>
      </c>
      <c r="M7" s="47" t="e">
        <f t="shared" si="7"/>
        <v>#REF!</v>
      </c>
      <c r="N7" s="47" t="e">
        <f t="shared" si="0"/>
        <v>#REF!</v>
      </c>
      <c r="O7" s="20" t="e">
        <f t="shared" si="1"/>
        <v>#REF!</v>
      </c>
      <c r="P7" s="47" t="e">
        <f t="shared" si="2"/>
        <v>#REF!</v>
      </c>
      <c r="Q7" s="47" t="e">
        <f t="shared" si="3"/>
        <v>#REF!</v>
      </c>
      <c r="R7" s="47" t="e">
        <f t="shared" si="4"/>
        <v>#REF!</v>
      </c>
      <c r="S7" s="47" t="e">
        <f t="shared" si="5"/>
        <v>#REF!</v>
      </c>
      <c r="T7" s="47" t="e">
        <f t="shared" si="6"/>
        <v>#REF!</v>
      </c>
    </row>
    <row r="8" spans="1:20" ht="31.5">
      <c r="A8" s="33" t="s">
        <v>20</v>
      </c>
      <c r="B8" s="70" t="e">
        <f>#REF!</f>
        <v>#REF!</v>
      </c>
      <c r="C8" s="46" t="e">
        <f>#REF!</f>
        <v>#REF!</v>
      </c>
      <c r="D8" s="46" t="e">
        <f>#REF!</f>
        <v>#REF!</v>
      </c>
      <c r="E8" s="47" t="e">
        <f>#REF!</f>
        <v>#REF!</v>
      </c>
      <c r="F8" s="20" t="e">
        <f>#REF!</f>
        <v>#REF!</v>
      </c>
      <c r="G8" s="47" t="e">
        <f>#REF!</f>
        <v>#REF!</v>
      </c>
      <c r="H8" s="47" t="e">
        <f>#REF!</f>
        <v>#REF!</v>
      </c>
      <c r="I8" s="47" t="e">
        <f>#REF!</f>
        <v>#REF!</v>
      </c>
      <c r="J8" s="47" t="e">
        <f t="shared" si="7"/>
        <v>#REF!</v>
      </c>
      <c r="K8" s="47" t="e">
        <f t="shared" si="7"/>
        <v>#REF!</v>
      </c>
      <c r="L8" s="47" t="e">
        <f t="shared" si="7"/>
        <v>#REF!</v>
      </c>
      <c r="M8" s="47" t="e">
        <f t="shared" si="7"/>
        <v>#REF!</v>
      </c>
      <c r="N8" s="47" t="e">
        <f t="shared" si="0"/>
        <v>#REF!</v>
      </c>
      <c r="O8" s="20" t="e">
        <f t="shared" si="1"/>
        <v>#REF!</v>
      </c>
      <c r="P8" s="20" t="e">
        <f t="shared" si="2"/>
        <v>#REF!</v>
      </c>
      <c r="Q8" s="47" t="e">
        <f t="shared" si="3"/>
        <v>#REF!</v>
      </c>
      <c r="R8" s="47" t="e">
        <f t="shared" si="4"/>
        <v>#REF!</v>
      </c>
      <c r="S8" s="47" t="e">
        <f t="shared" si="5"/>
        <v>#REF!</v>
      </c>
      <c r="T8" s="47" t="e">
        <f t="shared" si="6"/>
        <v>#REF!</v>
      </c>
    </row>
    <row r="9" spans="1:20" ht="18.75" customHeight="1">
      <c r="A9" s="18" t="s">
        <v>7</v>
      </c>
      <c r="B9" s="60" t="e">
        <f>B4+B5+B6+B7+B8</f>
        <v>#REF!</v>
      </c>
      <c r="C9" s="48" t="e">
        <f>SUM(C4:C8)</f>
        <v>#REF!</v>
      </c>
      <c r="D9" s="48" t="e">
        <f t="shared" ref="D9:I9" si="8">SUM(D4:D8)</f>
        <v>#REF!</v>
      </c>
      <c r="E9" s="48" t="e">
        <f t="shared" si="8"/>
        <v>#REF!</v>
      </c>
      <c r="F9" s="48" t="e">
        <f t="shared" si="8"/>
        <v>#REF!</v>
      </c>
      <c r="G9" s="48" t="e">
        <f t="shared" si="8"/>
        <v>#REF!</v>
      </c>
      <c r="H9" s="48" t="e">
        <f t="shared" si="8"/>
        <v>#REF!</v>
      </c>
      <c r="I9" s="48" t="e">
        <f t="shared" si="8"/>
        <v>#REF!</v>
      </c>
      <c r="J9" s="47" t="e">
        <f t="shared" si="7"/>
        <v>#REF!</v>
      </c>
      <c r="K9" s="47" t="e">
        <f t="shared" si="7"/>
        <v>#REF!</v>
      </c>
      <c r="L9" s="47" t="e">
        <f t="shared" si="7"/>
        <v>#REF!</v>
      </c>
      <c r="M9" s="47" t="e">
        <f t="shared" si="7"/>
        <v>#REF!</v>
      </c>
      <c r="N9" s="47" t="e">
        <f t="shared" si="0"/>
        <v>#REF!</v>
      </c>
      <c r="O9" s="20" t="e">
        <f t="shared" si="1"/>
        <v>#REF!</v>
      </c>
      <c r="P9" s="47" t="e">
        <f t="shared" si="2"/>
        <v>#REF!</v>
      </c>
      <c r="Q9" s="47" t="e">
        <f t="shared" si="3"/>
        <v>#REF!</v>
      </c>
      <c r="R9" s="47" t="e">
        <f t="shared" si="4"/>
        <v>#REF!</v>
      </c>
      <c r="S9" s="47" t="e">
        <f t="shared" si="5"/>
        <v>#REF!</v>
      </c>
      <c r="T9" s="47" t="e">
        <f t="shared" si="6"/>
        <v>#REF!</v>
      </c>
    </row>
    <row r="10" spans="1:20" ht="24" customHeight="1"/>
    <row r="11" spans="1:20" ht="70.5" customHeight="1">
      <c r="A11" s="1" t="s">
        <v>14</v>
      </c>
      <c r="E11" s="441" t="s">
        <v>15</v>
      </c>
      <c r="F11" s="442"/>
      <c r="G11" s="442"/>
      <c r="H11" s="85"/>
      <c r="I11" s="85"/>
    </row>
    <row r="12" spans="1:20" ht="26.25" customHeight="1">
      <c r="D12" s="438" t="s">
        <v>11</v>
      </c>
      <c r="E12" s="438"/>
      <c r="F12" s="438"/>
      <c r="G12" s="86"/>
      <c r="H12" s="86"/>
      <c r="I12" s="86"/>
      <c r="P12" s="67"/>
    </row>
    <row r="13" spans="1:20">
      <c r="M13" s="67"/>
    </row>
  </sheetData>
  <mergeCells count="4">
    <mergeCell ref="A2:G2"/>
    <mergeCell ref="E11:G11"/>
    <mergeCell ref="D12:F12"/>
    <mergeCell ref="H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10</vt:i4>
      </vt:variant>
    </vt:vector>
  </HeadingPairs>
  <TitlesOfParts>
    <vt:vector size="33" baseType="lpstr">
      <vt:lpstr>Прил№3 июль</vt:lpstr>
      <vt:lpstr>По месяцам2016</vt:lpstr>
      <vt:lpstr>Приложение №1</vt:lpstr>
      <vt:lpstr>Приложение № 2</vt:lpstr>
      <vt:lpstr>Приложение № 3</vt:lpstr>
      <vt:lpstr>Приложение № 4</vt:lpstr>
      <vt:lpstr>Приложение №3</vt:lpstr>
      <vt:lpstr>Прил№4июнь</vt:lpstr>
      <vt:lpstr>Прил№4июль</vt:lpstr>
      <vt:lpstr>Приложение №4</vt:lpstr>
      <vt:lpstr>4мес.2015</vt:lpstr>
      <vt:lpstr>Приложение №5</vt:lpstr>
      <vt:lpstr>Приложение №6</vt:lpstr>
      <vt:lpstr>Приложение № 7</vt:lpstr>
      <vt:lpstr>Лист1</vt:lpstr>
      <vt:lpstr>Лист3</vt:lpstr>
      <vt:lpstr>Лист4</vt:lpstr>
      <vt:lpstr>Лист5</vt:lpstr>
      <vt:lpstr>5.1</vt:lpstr>
      <vt:lpstr>Лист6</vt:lpstr>
      <vt:lpstr>6.1</vt:lpstr>
      <vt:lpstr>7</vt:lpstr>
      <vt:lpstr>7.1</vt:lpstr>
      <vt:lpstr>'По месяцам2016'!Область_печати</vt:lpstr>
      <vt:lpstr>'Прил№3 июль'!Область_печати</vt:lpstr>
      <vt:lpstr>Прил№4июнь!Область_печати</vt:lpstr>
      <vt:lpstr>'Приложение № 2'!Область_печати</vt:lpstr>
      <vt:lpstr>'Приложение № 3'!Область_печати</vt:lpstr>
      <vt:lpstr>'Приложение № 4'!Область_печати</vt:lpstr>
      <vt:lpstr>'Приложение №1'!Область_печати</vt:lpstr>
      <vt:lpstr>'Приложение №3'!Область_печати</vt:lpstr>
      <vt:lpstr>'Приложение №4'!Область_печати</vt:lpstr>
      <vt:lpstr>'Приложение №5'!Область_печати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TUkhanova</dc:creator>
  <cp:lastModifiedBy>Алимова Анна Петровна</cp:lastModifiedBy>
  <cp:lastPrinted>2021-03-05T10:19:46Z</cp:lastPrinted>
  <dcterms:created xsi:type="dcterms:W3CDTF">2014-02-11T06:34:28Z</dcterms:created>
  <dcterms:modified xsi:type="dcterms:W3CDTF">2021-03-16T09:31:05Z</dcterms:modified>
</cp:coreProperties>
</file>